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&amp;L" sheetId="1" r:id="rId1"/>
    <sheet name="BS" sheetId="2" r:id="rId2"/>
    <sheet name="CF" sheetId="3" r:id="rId3"/>
    <sheet name="EQY" sheetId="4" r:id="rId4"/>
    <sheet name="G&amp;L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1">'BS'!$A$1:$F$57</definedName>
    <definedName name="_xlnm.Print_Area" localSheetId="2">'CF'!$A$1:$N$89</definedName>
    <definedName name="_xlnm.Print_Area" localSheetId="3">'EQY'!$A$1:$O$35</definedName>
    <definedName name="_xlnm.Print_Area" localSheetId="4">'G&amp;L'!$A$1:$D$57</definedName>
    <definedName name="_xlnm.Print_Area" localSheetId="0">'P&amp;L'!$A$1:$H$51</definedName>
    <definedName name="_xlnm.Print_Titles" localSheetId="2">'CF'!$1:$7</definedName>
  </definedNames>
  <calcPr fullCalcOnLoad="1"/>
</workbook>
</file>

<file path=xl/sharedStrings.xml><?xml version="1.0" encoding="utf-8"?>
<sst xmlns="http://schemas.openxmlformats.org/spreadsheetml/2006/main" count="201" uniqueCount="152">
  <si>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</si>
  <si>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</si>
  <si>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</si>
  <si>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</si>
  <si>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</si>
  <si>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</si>
  <si>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</si>
  <si>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</si>
  <si>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</si>
  <si>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</si>
  <si>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</si>
  <si>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Debtors</t>
  </si>
  <si>
    <t>CURRENT LIABILITIES</t>
  </si>
  <si>
    <t>Creditors</t>
  </si>
  <si>
    <t>SHAREHOLDERS' FUNDS</t>
  </si>
  <si>
    <t>SHARE CAPITAL</t>
  </si>
  <si>
    <t>RESERVES</t>
  </si>
  <si>
    <t>Share Premium</t>
  </si>
  <si>
    <t>Retained Profit</t>
  </si>
  <si>
    <t>Reserves</t>
  </si>
  <si>
    <t>MINORITY INTEREST</t>
  </si>
  <si>
    <t>LONG TERM BORROWINGS</t>
  </si>
  <si>
    <t>Bank Borrowings</t>
  </si>
  <si>
    <t>PROPERTY, PLANT AND EQUIPMENT</t>
  </si>
  <si>
    <t>INVESTMENTS</t>
  </si>
  <si>
    <t>Gross amount due from customers for contract work</t>
  </si>
  <si>
    <t>Deposits, Cash &amp; Bank Balances</t>
  </si>
  <si>
    <t>HIRE PURCHASE CREDITORS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</si>
  <si>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</si>
  <si>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</si>
  <si>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</si>
  <si>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</si>
  <si>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</si>
  <si>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</si>
  <si>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</si>
  <si>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</si>
  <si>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</si>
  <si>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</si>
  <si>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As At</t>
  </si>
  <si>
    <t xml:space="preserve">As At </t>
  </si>
  <si>
    <t>Total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</si>
  <si>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</si>
  <si>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</si>
  <si>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</si>
  <si>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</si>
  <si>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</si>
  <si>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</si>
  <si>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</si>
  <si>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</si>
  <si>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</si>
  <si>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</si>
  <si>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</si>
  <si>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</si>
  <si>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</si>
  <si>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 xml:space="preserve">         Diluted (sen)</t>
  </si>
  <si>
    <t>NET CURRENT ASSETS</t>
  </si>
  <si>
    <t>Share</t>
  </si>
  <si>
    <t>Capital</t>
  </si>
  <si>
    <t>Reserve on</t>
  </si>
  <si>
    <t>Retained</t>
  </si>
  <si>
    <t>Premium</t>
  </si>
  <si>
    <t>Reserve</t>
  </si>
  <si>
    <t>Consolidation</t>
  </si>
  <si>
    <t>Profit</t>
  </si>
  <si>
    <t>Amount credited to income statement</t>
  </si>
  <si>
    <t>Net profit for the period</t>
  </si>
  <si>
    <t>Share issue expenses</t>
  </si>
  <si>
    <t>CASH FLOWS FROM OPERATING ACTIVITIES</t>
  </si>
  <si>
    <t>Interest income</t>
  </si>
  <si>
    <t>Interest received</t>
  </si>
  <si>
    <t>Interest paid</t>
  </si>
  <si>
    <t>CASH FLOWS FROM INVESTING ACTIVITIES</t>
  </si>
  <si>
    <t>Purchase of property, plant and equipment</t>
  </si>
  <si>
    <t>CASH FLOWS FROM FINANCING ACTIVITIES</t>
  </si>
  <si>
    <t>and the accompanying explanatory notes attached to the interim financial statements.</t>
  </si>
  <si>
    <t>Development properties and real property assets</t>
  </si>
  <si>
    <t>Amount owing to directors</t>
  </si>
  <si>
    <t xml:space="preserve">Profit/(Loss) Before Taxation </t>
  </si>
  <si>
    <t>Profit/(Loss) After Taxation</t>
  </si>
  <si>
    <t>Net Profit/(Loss) For the Period</t>
  </si>
  <si>
    <t>CONSOLIDATED CASH FLOW STATEMENT</t>
  </si>
  <si>
    <t xml:space="preserve">CONSOLIDATED INCOME STATEMENTS </t>
  </si>
  <si>
    <t xml:space="preserve">New shares issued </t>
  </si>
  <si>
    <t xml:space="preserve">CONSOLIDATED STATEMENTS OF CHANGES IN EQUITY </t>
  </si>
  <si>
    <t>CONSOLIDATED BALANCE SHEETS</t>
  </si>
  <si>
    <t>DEFERRED TAXATION</t>
  </si>
  <si>
    <t>GOODWILL ON CONSOLIDATION</t>
  </si>
  <si>
    <t>Loss on disposal of property, plant and equipment</t>
  </si>
  <si>
    <t>Bad debts written off</t>
  </si>
  <si>
    <t>The condensed Consolidated Income Statements should be read in conjunction with the audited financial statements for</t>
  </si>
  <si>
    <t>31/12/2004</t>
  </si>
  <si>
    <t>Adjustment for :-</t>
  </si>
  <si>
    <t>Depreciation of property, plant and equipment</t>
  </si>
  <si>
    <t>Gain on disposal of property, plant and equipment</t>
  </si>
  <si>
    <t>Property, plant and equipment written off</t>
  </si>
  <si>
    <t>Interest expenses</t>
  </si>
  <si>
    <t>Write back of provision for expenses no longer required</t>
  </si>
  <si>
    <t>Amount owing by customers on contract</t>
  </si>
  <si>
    <t>Trade and others receivables</t>
  </si>
  <si>
    <t>Trade and other payables</t>
  </si>
  <si>
    <t>Taxation paid</t>
  </si>
  <si>
    <t>The condensed Consolidated Cash Flow Statements should be read in conjunction with the audited financial statements for</t>
  </si>
  <si>
    <t>Net proceeds from disposal of property, plant and equipment</t>
  </si>
  <si>
    <t>Investment in joint venture</t>
  </si>
  <si>
    <t xml:space="preserve">Proceeds from the issuance of shares </t>
  </si>
  <si>
    <t>Shares issue expenses</t>
  </si>
  <si>
    <t>CASH EQUIVALENTS</t>
  </si>
  <si>
    <t>OPENING BALANCE OF CASH AND</t>
  </si>
  <si>
    <t xml:space="preserve">CLOSING BALANCE OF CASH AND </t>
  </si>
  <si>
    <t>Closing balance of cash and cash equivalents comprises :-</t>
  </si>
  <si>
    <t>Cash and bank balances</t>
  </si>
  <si>
    <t>Fixed deposit with licensed bank</t>
  </si>
  <si>
    <t>Bank Overdraft</t>
  </si>
  <si>
    <t>(Increase) /Decrease In Working Capital Changes</t>
  </si>
  <si>
    <t xml:space="preserve">Profit before taxation </t>
  </si>
  <si>
    <t>Cash Generated From Operations</t>
  </si>
  <si>
    <t>Net Cash From Operating Activities</t>
  </si>
  <si>
    <t>Net Cash From Investing Activities</t>
  </si>
  <si>
    <t>Net Cash Used in Financing Activities</t>
  </si>
  <si>
    <t>the year ended 31 December 2004 and the accompanying explanatory notes attached to the interim financial statements.</t>
  </si>
  <si>
    <t>The condensed Consolidated Statements of Changes in Equity should be read in conjunction with the audited financial statements for the year ended 31 December 2004</t>
  </si>
  <si>
    <t>PROPERTY DEVELOPMENT COSTS</t>
  </si>
  <si>
    <t>Operating Profit Before Working Capital Changes</t>
  </si>
  <si>
    <t>NET INCREASE IN CASH AND</t>
  </si>
  <si>
    <t>Balance as at 1st January 2005</t>
  </si>
  <si>
    <t>Balance as at 1st January 2004</t>
  </si>
  <si>
    <t>Joint venture</t>
  </si>
  <si>
    <t>Investment in subsidiary</t>
  </si>
  <si>
    <t xml:space="preserve">   </t>
  </si>
  <si>
    <t>Drawndown of term loan</t>
  </si>
  <si>
    <t>Net repayment of hire purchase liabilities</t>
  </si>
  <si>
    <t>Net repayment of bank borrowing</t>
  </si>
  <si>
    <t>FOR THE PERIOD ENDED 31 DECEMBER 2005</t>
  </si>
  <si>
    <t>31/12/2005</t>
  </si>
  <si>
    <t>AS AT 31 DECEMBER 2005</t>
  </si>
  <si>
    <t>FOR THE QUARTER ENDED 31 DECEMBER 2005</t>
  </si>
  <si>
    <t>Balance as at end of period 31 Dec 2005</t>
  </si>
  <si>
    <t>Balance as at end of period 31 Dec 2004</t>
  </si>
  <si>
    <t>Allowance for diminution in value on other investment</t>
  </si>
  <si>
    <t>Reserve on consolidation recognised</t>
  </si>
  <si>
    <t>Cash outflow on acquisition of subsidiary companies</t>
  </si>
  <si>
    <t>Increase in fixed deposits pledged</t>
  </si>
  <si>
    <t>Cash held under Housing Development Accounts</t>
  </si>
  <si>
    <t>Less : Deposits pledged with licensed bank</t>
  </si>
  <si>
    <t>Profit/(Loss) From Operations</t>
  </si>
  <si>
    <t>Gross Profit/(Loss)</t>
  </si>
  <si>
    <t xml:space="preserve">Net profit/(loss) for the period </t>
  </si>
  <si>
    <t>Loss/Earnings per share (Note B13)</t>
  </si>
  <si>
    <t>Impairment of goodwill</t>
  </si>
  <si>
    <t>Net assets per share *</t>
  </si>
  <si>
    <t>* The net assets per share is based on the computation of total assets (including intangibles) minus total liabilities</t>
  </si>
  <si>
    <t>divided by total number of ordinary shares in circulation.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</si>
</sst>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_-;\-* #,##0_-;_-* &quot;-&quot;??_-;_-@_-"/>
    <numFmt numFmtId="184" formatCode="_(* #,##0.0_);_(* \(#,##0.0\);_(* &quot;-&quot;?_);_(@_)"/>
    <numFmt numFmtId="185" formatCode="_-* #,##0.0_-;\-* #,##0.0_-;_-* &quot;-&quot;?_-;_-@_-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1" fillId="0" borderId="2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171" fontId="0" fillId="0" borderId="0" xfId="15" applyFont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73" fontId="0" fillId="0" borderId="0" xfId="21" applyNumberFormat="1" applyFont="1">
      <alignment/>
      <protection/>
    </xf>
    <xf numFmtId="173" fontId="0" fillId="0" borderId="3" xfId="21" applyNumberFormat="1" applyFont="1" applyBorder="1">
      <alignment/>
      <protection/>
    </xf>
    <xf numFmtId="173" fontId="0" fillId="0" borderId="0" xfId="21" applyNumberFormat="1" applyFont="1" applyBorder="1">
      <alignment/>
      <protection/>
    </xf>
    <xf numFmtId="173" fontId="1" fillId="0" borderId="6" xfId="21" applyNumberFormat="1" applyFont="1" applyBorder="1">
      <alignment/>
      <protection/>
    </xf>
    <xf numFmtId="173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73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0" fontId="2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1" fillId="0" borderId="0" xfId="21" applyNumberFormat="1" applyFont="1" applyBorder="1">
      <alignment/>
      <protection/>
    </xf>
    <xf numFmtId="171" fontId="0" fillId="0" borderId="0" xfId="15" applyNumberFormat="1" applyFont="1" applyFill="1" applyBorder="1" applyAlignment="1">
      <alignment horizontal="right"/>
    </xf>
    <xf numFmtId="169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Fill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Fill="1" applyAlignment="1">
      <alignment/>
    </xf>
    <xf numFmtId="173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171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1" fontId="0" fillId="2" borderId="3" xfId="0" applyNumberFormat="1" applyFont="1" applyFill="1" applyBorder="1" applyAlignment="1">
      <alignment/>
    </xf>
    <xf numFmtId="173" fontId="0" fillId="2" borderId="3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02MPBCons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l%20March%202005%20-%20Q1%20Tax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MPB\Master%20Consol%202005\cash%20flow-September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-%20decembe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December_2005%20mpk%20latest%20adj%201402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December_2005%20latest%20withdeferred%20tax%208m%20loss%20mpk%20latest%20adj%20goodwill%20wof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december%202005%20-%20final%20revis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December_2005%20mpk%20latest%20adj%208.6m%20PATAMI%20anoucement%20gwill%20wo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"/>
      <sheetName val="Opex &amp; Finance (4)"/>
      <sheetName val="P&amp;L 31032005 (2)"/>
      <sheetName val="Interco"/>
      <sheetName val="p&amp;l notes"/>
      <sheetName val="segmental"/>
      <sheetName val="bs line-up"/>
      <sheetName val="Consol adj"/>
      <sheetName val="current-p&amp;l"/>
      <sheetName val="current-bs"/>
      <sheetName val="Consol Jurnal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34">
          <cell r="U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Sheet1"/>
      <sheetName val="Sheet2"/>
      <sheetName val="Sheet3"/>
    </sheetNames>
    <sheetDataSet>
      <sheetData sheetId="0">
        <row r="26">
          <cell r="T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MPB-QR"/>
    </sheetNames>
    <sheetDataSet>
      <sheetData sheetId="1">
        <row r="14">
          <cell r="J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QTR 4"/>
      <sheetName val="P&amp;L 31122005"/>
      <sheetName val="p&amp;l notes"/>
      <sheetName val="P&amp;L Q2"/>
      <sheetName val="bs line-up"/>
      <sheetName val="Consol adj"/>
      <sheetName val="current-p&amp;l"/>
      <sheetName val="current-bs"/>
      <sheetName val="P &amp; L segmental qtr 4"/>
      <sheetName val="P &amp; Lsegmental"/>
      <sheetName val="Consol Jurnal"/>
      <sheetName val="audit consol adj"/>
      <sheetName val="Interco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Profit cal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9">
        <row r="9">
          <cell r="U9">
            <v>46797679</v>
          </cell>
        </row>
        <row r="10">
          <cell r="U10">
            <v>9388308.23</v>
          </cell>
        </row>
        <row r="11">
          <cell r="U11">
            <v>29994</v>
          </cell>
        </row>
        <row r="15">
          <cell r="U15">
            <v>2513857.6232954017</v>
          </cell>
        </row>
        <row r="18">
          <cell r="U18">
            <v>139111</v>
          </cell>
        </row>
        <row r="19">
          <cell r="U19">
            <v>168304</v>
          </cell>
        </row>
        <row r="20">
          <cell r="U20">
            <v>10758899.53</v>
          </cell>
        </row>
        <row r="28">
          <cell r="U28">
            <v>7961236.570000002</v>
          </cell>
        </row>
        <row r="33">
          <cell r="U33">
            <v>5867812</v>
          </cell>
        </row>
        <row r="34">
          <cell r="U34">
            <v>325000</v>
          </cell>
        </row>
        <row r="38">
          <cell r="U38">
            <v>92307905.37739143</v>
          </cell>
        </row>
        <row r="39">
          <cell r="U39">
            <v>8071870</v>
          </cell>
        </row>
        <row r="40">
          <cell r="U40">
            <v>8433731.629999999</v>
          </cell>
        </row>
        <row r="51">
          <cell r="U51">
            <v>13663497.74</v>
          </cell>
        </row>
        <row r="56">
          <cell r="U56">
            <v>30787700.919999972</v>
          </cell>
        </row>
        <row r="57">
          <cell r="U57">
            <v>23969380.81</v>
          </cell>
        </row>
        <row r="58">
          <cell r="U58">
            <v>0</v>
          </cell>
        </row>
        <row r="59">
          <cell r="U59">
            <v>175936.68</v>
          </cell>
        </row>
        <row r="60">
          <cell r="U60">
            <v>0</v>
          </cell>
        </row>
        <row r="61">
          <cell r="U61">
            <v>110000</v>
          </cell>
        </row>
        <row r="62">
          <cell r="U62">
            <v>1025830.53</v>
          </cell>
        </row>
        <row r="66">
          <cell r="U66">
            <v>6585846.6036</v>
          </cell>
        </row>
      </sheetData>
      <sheetData sheetId="24">
        <row r="11">
          <cell r="K11">
            <v>108019697.08196372</v>
          </cell>
        </row>
        <row r="18">
          <cell r="K18">
            <v>-103494293.3645723</v>
          </cell>
        </row>
        <row r="22">
          <cell r="K22">
            <v>691483.8799999999</v>
          </cell>
        </row>
        <row r="34">
          <cell r="K34">
            <v>-1580986.65</v>
          </cell>
        </row>
        <row r="38">
          <cell r="K38">
            <v>-460912.97360000014</v>
          </cell>
        </row>
        <row r="41">
          <cell r="K41">
            <v>599055.7427045989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QTR 4"/>
      <sheetName val="P&amp;L 31122005"/>
      <sheetName val="p&amp;l notes"/>
      <sheetName val="P&amp;L Q2"/>
      <sheetName val="bs line-up"/>
      <sheetName val="Consol adj"/>
      <sheetName val="current-p&amp;l"/>
      <sheetName val="current-bs"/>
      <sheetName val="P &amp; L segmental qtr 4"/>
      <sheetName val="P &amp; Lsegmental"/>
      <sheetName val="Consol Jurnal"/>
      <sheetName val="audit consol adj"/>
      <sheetName val="Interco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Profit cal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6">
        <row r="40">
          <cell r="U40">
            <v>-12801852.252608586</v>
          </cell>
        </row>
      </sheetData>
      <sheetData sheetId="19">
        <row r="85">
          <cell r="Q85">
            <v>4034371.3200000003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oup-revised "/>
      <sheetName val="MPB-QR - revised"/>
      <sheetName val="group"/>
      <sheetName val="MPB-QR"/>
    </sheetNames>
    <sheetDataSet>
      <sheetData sheetId="1">
        <row r="12">
          <cell r="I12">
            <v>1404.22266</v>
          </cell>
        </row>
        <row r="13">
          <cell r="I13">
            <v>-34.001</v>
          </cell>
        </row>
        <row r="15">
          <cell r="I15">
            <v>8.838</v>
          </cell>
        </row>
        <row r="17">
          <cell r="I17">
            <v>-66.5126</v>
          </cell>
        </row>
        <row r="18">
          <cell r="I18">
            <v>1580.98694</v>
          </cell>
        </row>
        <row r="27">
          <cell r="I27">
            <v>-403.4446199999998</v>
          </cell>
        </row>
        <row r="28">
          <cell r="I28">
            <v>-131.85</v>
          </cell>
        </row>
        <row r="29">
          <cell r="I29">
            <v>-38803.70224</v>
          </cell>
        </row>
        <row r="30">
          <cell r="I30">
            <v>-9292.86213</v>
          </cell>
        </row>
        <row r="31">
          <cell r="I31">
            <v>25208.867059999993</v>
          </cell>
        </row>
        <row r="37">
          <cell r="I37">
            <v>-937.372</v>
          </cell>
        </row>
        <row r="38">
          <cell r="I38">
            <v>66.5126</v>
          </cell>
        </row>
        <row r="39">
          <cell r="I39">
            <v>-1580.98694</v>
          </cell>
        </row>
        <row r="45">
          <cell r="I45">
            <v>-1007.6820800000003</v>
          </cell>
        </row>
        <row r="47">
          <cell r="I47">
            <v>35.701</v>
          </cell>
        </row>
        <row r="52">
          <cell r="I52">
            <v>-352.16137000000003</v>
          </cell>
        </row>
        <row r="53">
          <cell r="I53">
            <v>-2012.8925900000002</v>
          </cell>
        </row>
        <row r="55">
          <cell r="I55">
            <v>27422.46314</v>
          </cell>
        </row>
        <row r="56">
          <cell r="I56">
            <v>-1186.0160700000004</v>
          </cell>
        </row>
        <row r="57">
          <cell r="I57">
            <v>5942.9415</v>
          </cell>
        </row>
        <row r="66">
          <cell r="I66">
            <v>-6899.14711</v>
          </cell>
        </row>
        <row r="73">
          <cell r="I73">
            <v>3071.767539999999</v>
          </cell>
        </row>
        <row r="75">
          <cell r="I75">
            <v>6711.98495</v>
          </cell>
        </row>
        <row r="76">
          <cell r="I76">
            <v>-14307.346619999998</v>
          </cell>
        </row>
        <row r="78">
          <cell r="I78">
            <v>-6711.98495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QTR 4"/>
      <sheetName val="P&amp;L 31122005"/>
      <sheetName val="p&amp;l notes"/>
      <sheetName val="P&amp;L Q2"/>
      <sheetName val="bs line-up"/>
      <sheetName val="Consol adj"/>
      <sheetName val="current-p&amp;l"/>
      <sheetName val="current-bs"/>
      <sheetName val="P &amp; L segmental qtr 4"/>
      <sheetName val="P &amp; Lsegmental"/>
      <sheetName val="Consol Jurnal"/>
      <sheetName val="audit consol adj"/>
      <sheetName val="Interco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Profit cal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9">
        <row r="41">
          <cell r="U41">
            <v>28831806.74</v>
          </cell>
        </row>
        <row r="42">
          <cell r="U42">
            <v>9320271.340000002</v>
          </cell>
        </row>
        <row r="47">
          <cell r="U47">
            <v>1869536.88</v>
          </cell>
        </row>
        <row r="48">
          <cell r="U48">
            <v>9344217.610000001</v>
          </cell>
        </row>
        <row r="63">
          <cell r="U63">
            <v>1186562.85</v>
          </cell>
        </row>
        <row r="64">
          <cell r="U64">
            <v>14307346.62</v>
          </cell>
        </row>
        <row r="65">
          <cell r="U65">
            <v>20033204.720000003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90" zoomScaleSheetLayoutView="90" workbookViewId="0" topLeftCell="A26">
      <selection activeCell="J34" sqref="J34"/>
    </sheetView>
  </sheetViews>
  <sheetFormatPr defaultColWidth="9.140625" defaultRowHeight="12.75"/>
  <cols>
    <col min="1" max="1" width="30.8515625" style="3" customWidth="1"/>
    <col min="2" max="2" width="17.421875" style="3" customWidth="1"/>
    <col min="3" max="3" width="1.7109375" style="12" customWidth="1"/>
    <col min="4" max="4" width="16.7109375" style="3" customWidth="1"/>
    <col min="5" max="5" width="1.7109375" style="12" customWidth="1"/>
    <col min="6" max="6" width="16.57421875" style="3" customWidth="1"/>
    <col min="7" max="7" width="0.85546875" style="12" customWidth="1"/>
    <col min="8" max="8" width="15.57421875" style="3" bestFit="1" customWidth="1"/>
    <col min="9" max="16384" width="9.140625" style="3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81</v>
      </c>
      <c r="C3" s="16"/>
      <c r="E3" s="16"/>
      <c r="G3" s="16"/>
    </row>
    <row r="4" spans="1:7" s="2" customFormat="1" ht="15.75">
      <c r="A4" s="2" t="s">
        <v>132</v>
      </c>
      <c r="C4" s="16"/>
      <c r="E4" s="16"/>
      <c r="G4" s="16"/>
    </row>
    <row r="7" spans="2:8" s="7" customFormat="1" ht="12.75">
      <c r="B7" s="8">
        <v>2005</v>
      </c>
      <c r="C7" s="8"/>
      <c r="D7" s="8">
        <v>2004</v>
      </c>
      <c r="E7" s="8"/>
      <c r="F7" s="8">
        <v>2005</v>
      </c>
      <c r="G7" s="8"/>
      <c r="H7" s="8">
        <v>2004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41" t="s">
        <v>133</v>
      </c>
      <c r="C12" s="18"/>
      <c r="D12" s="41" t="s">
        <v>90</v>
      </c>
      <c r="E12" s="18"/>
      <c r="F12" s="41" t="s">
        <v>133</v>
      </c>
      <c r="G12" s="18"/>
      <c r="H12" s="41" t="s">
        <v>90</v>
      </c>
    </row>
    <row r="13" spans="2:8" s="9" customFormat="1" ht="12">
      <c r="B13" s="17" t="s">
        <v>49</v>
      </c>
      <c r="C13" s="17"/>
      <c r="D13" s="17" t="s">
        <v>49</v>
      </c>
      <c r="E13" s="17"/>
      <c r="F13" s="17" t="s">
        <v>49</v>
      </c>
      <c r="G13" s="17"/>
      <c r="H13" s="17" t="s">
        <v>49</v>
      </c>
    </row>
    <row r="14" s="9" customFormat="1" ht="12"/>
    <row r="15" spans="1:8" s="12" customFormat="1" ht="12.75">
      <c r="A15" s="10" t="s">
        <v>7</v>
      </c>
      <c r="B15" s="11">
        <f>+F15-55084</f>
        <v>52935.69708196372</v>
      </c>
      <c r="C15" s="11"/>
      <c r="D15" s="11">
        <f>+H15-76005</f>
        <v>23376</v>
      </c>
      <c r="E15" s="11"/>
      <c r="F15" s="11">
        <f>+'[4]P &amp; Lsegmental'!$K$11/1000</f>
        <v>108019.69708196372</v>
      </c>
      <c r="G15" s="11"/>
      <c r="H15" s="11">
        <v>99381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32</v>
      </c>
      <c r="B17" s="24">
        <f>+F17+40608</f>
        <v>-62886.293364572295</v>
      </c>
      <c r="C17" s="11"/>
      <c r="D17" s="42">
        <f>+H17+67300</f>
        <v>-13426</v>
      </c>
      <c r="E17" s="11"/>
      <c r="F17" s="24">
        <f>+'[4]P &amp; Lsegmental'!$K$18/1000</f>
        <v>-103494.2933645723</v>
      </c>
      <c r="G17" s="11"/>
      <c r="H17" s="24">
        <v>-80726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145</v>
      </c>
      <c r="B19" s="11">
        <f>SUM(B14:B18)+1</f>
        <v>-9949.596282608574</v>
      </c>
      <c r="C19" s="11"/>
      <c r="D19" s="11">
        <f>SUM(D14:D18)</f>
        <v>9950</v>
      </c>
      <c r="E19" s="11">
        <f>SUM(E14:E18)</f>
        <v>0</v>
      </c>
      <c r="F19" s="11">
        <f>SUM(F14:F18)+1</f>
        <v>4526.403717391426</v>
      </c>
      <c r="G19" s="11"/>
      <c r="H19" s="11">
        <f>SUM(H14:H18)</f>
        <v>18655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33</v>
      </c>
      <c r="B21" s="11">
        <f>+F21-855</f>
        <v>-163.51612000000011</v>
      </c>
      <c r="C21" s="11"/>
      <c r="D21" s="11">
        <f>+H21-2414</f>
        <v>1004</v>
      </c>
      <c r="E21" s="11"/>
      <c r="F21" s="11">
        <f>+'[4]P &amp; Lsegmental'!$K$22/1000</f>
        <v>691.4838799999999</v>
      </c>
      <c r="G21" s="11"/>
      <c r="H21" s="11">
        <v>3418</v>
      </c>
    </row>
    <row r="22" spans="1:8" s="12" customFormat="1" ht="12.75">
      <c r="A22" s="10" t="s">
        <v>50</v>
      </c>
      <c r="B22" s="11">
        <f>+F22+10559</f>
        <v>-5878.753000000001</v>
      </c>
      <c r="C22" s="11"/>
      <c r="D22" s="40">
        <f>+H22+8207</f>
        <v>-8696</v>
      </c>
      <c r="E22" s="11"/>
      <c r="F22" s="11">
        <f>+(-1368577-919767-8323135-5304171-522103)/1000</f>
        <v>-16437.753</v>
      </c>
      <c r="G22" s="11"/>
      <c r="H22" s="11">
        <f>-198-15629-1076</f>
        <v>-16903</v>
      </c>
    </row>
    <row r="23" spans="1:8" s="12" customFormat="1" ht="12.75">
      <c r="A23" s="10"/>
      <c r="B23" s="24"/>
      <c r="C23" s="11"/>
      <c r="D23" s="24"/>
      <c r="E23" s="11"/>
      <c r="F23" s="24"/>
      <c r="G23" s="11"/>
      <c r="H23" s="24"/>
    </row>
    <row r="24" spans="1:8" s="12" customFormat="1" ht="12.75">
      <c r="A24" s="10"/>
      <c r="B24" s="11"/>
      <c r="C24" s="11"/>
      <c r="D24" s="11"/>
      <c r="E24" s="11"/>
      <c r="F24" s="11"/>
      <c r="G24" s="11"/>
      <c r="H24" s="11"/>
    </row>
    <row r="25" spans="1:14" s="12" customFormat="1" ht="12.75" customHeight="1">
      <c r="A25" s="10" t="s">
        <v>144</v>
      </c>
      <c r="B25" s="13">
        <f>SUM(B19:B24)-1</f>
        <v>-15992.865402608575</v>
      </c>
      <c r="C25" s="13"/>
      <c r="D25" s="13">
        <f>SUM(D19:D24)</f>
        <v>2258</v>
      </c>
      <c r="E25" s="13">
        <f>SUM(E19:E24)</f>
        <v>0</v>
      </c>
      <c r="F25" s="13">
        <f>SUM(F19:F24)-1</f>
        <v>-11220.865402608575</v>
      </c>
      <c r="G25" s="13"/>
      <c r="H25" s="13">
        <f>SUM(H19:H24)</f>
        <v>5170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/>
      <c r="B27" s="11"/>
      <c r="C27" s="11"/>
      <c r="D27" s="11"/>
      <c r="E27" s="11"/>
      <c r="F27" s="11"/>
      <c r="G27" s="11"/>
      <c r="H27" s="11"/>
    </row>
    <row r="28" spans="1:8" s="12" customFormat="1" ht="12.75">
      <c r="A28" s="10" t="s">
        <v>34</v>
      </c>
      <c r="B28" s="24">
        <f>+F28+1192</f>
        <v>-388.9866499999998</v>
      </c>
      <c r="C28" s="11"/>
      <c r="D28" s="24">
        <f>+H28+1294</f>
        <v>-251</v>
      </c>
      <c r="E28" s="11"/>
      <c r="F28" s="24">
        <f>+'[4]P &amp; Lsegmental'!$K$34/1000</f>
        <v>-1580.9866499999998</v>
      </c>
      <c r="G28" s="11"/>
      <c r="H28" s="24">
        <v>-1545</v>
      </c>
    </row>
    <row r="29" spans="1:8" s="12" customFormat="1" ht="12.75">
      <c r="A29" s="10"/>
      <c r="B29" s="11"/>
      <c r="C29" s="11"/>
      <c r="D29" s="11"/>
      <c r="E29" s="11"/>
      <c r="F29" s="11"/>
      <c r="G29" s="11"/>
      <c r="H29" s="11"/>
    </row>
    <row r="30" spans="1:8" s="12" customFormat="1" ht="25.5" hidden="1">
      <c r="A30" s="10" t="s">
        <v>37</v>
      </c>
      <c r="B30" s="24">
        <f>F30</f>
        <v>0</v>
      </c>
      <c r="C30" s="11"/>
      <c r="D30" s="24">
        <v>0</v>
      </c>
      <c r="E30" s="11"/>
      <c r="F30" s="24">
        <f>'[1]P&amp;L 31032005 (2)'!$U$34/100</f>
        <v>0</v>
      </c>
      <c r="G30" s="11"/>
      <c r="H30" s="24">
        <v>0</v>
      </c>
    </row>
    <row r="31" spans="1:8" s="12" customFormat="1" ht="12.75" hidden="1">
      <c r="A31" s="10"/>
      <c r="B31" s="11"/>
      <c r="C31" s="11"/>
      <c r="D31" s="11"/>
      <c r="E31" s="11"/>
      <c r="F31" s="11"/>
      <c r="G31" s="11"/>
      <c r="H31" s="11"/>
    </row>
    <row r="32" spans="1:8" s="12" customFormat="1" ht="12.75">
      <c r="A32" s="10" t="s">
        <v>77</v>
      </c>
      <c r="B32" s="11">
        <f>SUM(B24:B30)</f>
        <v>-16381.852052608574</v>
      </c>
      <c r="C32" s="11"/>
      <c r="D32" s="11">
        <f>SUM(D25:D30)</f>
        <v>2007</v>
      </c>
      <c r="E32" s="11"/>
      <c r="F32" s="11">
        <f>SUM(F25:F30)</f>
        <v>-12801.852052608574</v>
      </c>
      <c r="G32" s="11"/>
      <c r="H32" s="11">
        <f>SUM(H25:H30)</f>
        <v>3625</v>
      </c>
    </row>
    <row r="33" spans="1:8" s="12" customFormat="1" ht="12.75">
      <c r="A33" s="10"/>
      <c r="B33" s="11"/>
      <c r="C33" s="11"/>
      <c r="D33" s="11"/>
      <c r="E33" s="11"/>
      <c r="F33" s="11"/>
      <c r="G33" s="11"/>
      <c r="H33" s="11"/>
    </row>
    <row r="34" spans="1:8" s="12" customFormat="1" ht="12.75">
      <c r="A34" s="10" t="s">
        <v>35</v>
      </c>
      <c r="B34" s="24">
        <f>1426+F34</f>
        <v>965.0870263999998</v>
      </c>
      <c r="C34" s="11"/>
      <c r="D34" s="24">
        <f>+H34+507</f>
        <v>-251</v>
      </c>
      <c r="E34" s="11"/>
      <c r="F34" s="24">
        <f>+'[4]P &amp; Lsegmental'!$K$38/1000</f>
        <v>-460.91297360000016</v>
      </c>
      <c r="G34" s="11"/>
      <c r="H34" s="24">
        <v>-758</v>
      </c>
    </row>
    <row r="35" spans="1:8" s="12" customFormat="1" ht="12.75">
      <c r="A35" s="10"/>
      <c r="B35" s="11"/>
      <c r="C35" s="11"/>
      <c r="D35" s="11"/>
      <c r="E35" s="11"/>
      <c r="F35" s="11"/>
      <c r="G35" s="11"/>
      <c r="H35" s="11"/>
    </row>
    <row r="36" spans="1:8" s="12" customFormat="1" ht="12.75">
      <c r="A36" s="10" t="s">
        <v>78</v>
      </c>
      <c r="B36" s="11">
        <f>SUM(B32:B35)</f>
        <v>-15416.765026208574</v>
      </c>
      <c r="C36" s="11"/>
      <c r="D36" s="11">
        <f>SUM(D32:D35)</f>
        <v>1756</v>
      </c>
      <c r="E36" s="11"/>
      <c r="F36" s="11">
        <f>SUM(F32:F34)</f>
        <v>-13262.765026208574</v>
      </c>
      <c r="G36" s="11"/>
      <c r="H36" s="11">
        <f>SUM(H32:H35)</f>
        <v>2867</v>
      </c>
    </row>
    <row r="37" spans="1:8" s="12" customFormat="1" ht="12.75">
      <c r="A37" s="10"/>
      <c r="B37" s="11"/>
      <c r="C37" s="11"/>
      <c r="D37" s="11"/>
      <c r="E37" s="11"/>
      <c r="F37" s="11"/>
      <c r="G37" s="11"/>
      <c r="H37" s="11"/>
    </row>
    <row r="38" spans="1:8" s="12" customFormat="1" ht="12.75">
      <c r="A38" s="10" t="s">
        <v>36</v>
      </c>
      <c r="B38" s="24">
        <f>918+F38</f>
        <v>1517.055742704599</v>
      </c>
      <c r="C38" s="11"/>
      <c r="D38" s="24">
        <f>+H38+869</f>
        <v>-365</v>
      </c>
      <c r="E38" s="11"/>
      <c r="F38" s="24">
        <f>+'[4]P &amp; Lsegmental'!$K$41/1000</f>
        <v>599.055742704599</v>
      </c>
      <c r="G38" s="11"/>
      <c r="H38" s="24">
        <v>-1234</v>
      </c>
    </row>
    <row r="39" spans="1:8" s="12" customFormat="1" ht="12.75">
      <c r="A39" s="10"/>
      <c r="B39" s="25"/>
      <c r="C39" s="11"/>
      <c r="D39" s="25"/>
      <c r="E39" s="11"/>
      <c r="F39" s="25"/>
      <c r="G39" s="11"/>
      <c r="H39" s="25"/>
    </row>
    <row r="40" spans="1:8" s="12" customFormat="1" ht="13.5" thickBot="1">
      <c r="A40" s="10" t="s">
        <v>79</v>
      </c>
      <c r="B40" s="26">
        <f>SUM(B36:B39)</f>
        <v>-13899.709283503975</v>
      </c>
      <c r="C40" s="11"/>
      <c r="D40" s="26">
        <f>SUM(D36:D39)</f>
        <v>1391</v>
      </c>
      <c r="E40" s="11"/>
      <c r="F40" s="26">
        <f>SUM(F36:F39)</f>
        <v>-12663.709283503975</v>
      </c>
      <c r="G40" s="11"/>
      <c r="H40" s="26">
        <f>SUM(H36:H39)</f>
        <v>1633</v>
      </c>
    </row>
    <row r="41" spans="1:8" s="12" customFormat="1" ht="13.5" thickTop="1">
      <c r="A41" s="10"/>
      <c r="B41" s="11"/>
      <c r="C41" s="11"/>
      <c r="D41" s="11"/>
      <c r="E41" s="11"/>
      <c r="F41" s="11"/>
      <c r="G41" s="11"/>
      <c r="H41" s="11"/>
    </row>
    <row r="42" spans="1:8" s="12" customFormat="1" ht="12.75" customHeight="1">
      <c r="A42" s="10" t="s">
        <v>147</v>
      </c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 t="s">
        <v>53</v>
      </c>
      <c r="B43" s="49">
        <f>+(B40/46242)*100</f>
        <v>-30.058624807542873</v>
      </c>
      <c r="C43" s="49"/>
      <c r="D43" s="49">
        <f>+(D40/42442)*100</f>
        <v>3.277413882474907</v>
      </c>
      <c r="E43" s="49"/>
      <c r="F43" s="49">
        <f>+(F40/46242)*100</f>
        <v>-27.385730036555454</v>
      </c>
      <c r="G43" s="28"/>
      <c r="H43" s="28">
        <f>+(H40/41931)*100</f>
        <v>3.8944933342872816</v>
      </c>
    </row>
    <row r="44" spans="1:8" s="12" customFormat="1" ht="12.75">
      <c r="A44" s="10" t="s">
        <v>54</v>
      </c>
      <c r="B44" s="47">
        <f>(B40/47548)*100</f>
        <v>-29.233005139025774</v>
      </c>
      <c r="C44" s="47"/>
      <c r="D44" s="47">
        <f>(D40/42957)*100</f>
        <v>3.2381218427730056</v>
      </c>
      <c r="E44" s="47"/>
      <c r="F44" s="47">
        <f>(F40/47548)*100</f>
        <v>-26.63352671722044</v>
      </c>
      <c r="G44" s="29"/>
      <c r="H44" s="47">
        <f>(H40/42446)*100</f>
        <v>3.8472412005842718</v>
      </c>
    </row>
    <row r="45" s="12" customFormat="1" ht="12.75"/>
    <row r="46" s="12" customFormat="1" ht="12.75">
      <c r="A46" s="12" t="s">
        <v>89</v>
      </c>
    </row>
    <row r="47" s="12" customFormat="1" ht="12.75">
      <c r="A47" s="12" t="s">
        <v>119</v>
      </c>
    </row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</sheetData>
  <printOptions horizontalCentered="1"/>
  <pageMargins left="0.3937007874015748" right="0.2362204724409449" top="0.984251968503937" bottom="0.5905511811023623" header="0.5118110236220472" footer="0.5118110236220472"/>
  <pageSetup horizontalDpi="300" verticalDpi="300" orientation="portrait" paperSize="9" scale="95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SheetLayoutView="100" workbookViewId="0" topLeftCell="A40">
      <selection activeCell="E54" sqref="E54"/>
    </sheetView>
  </sheetViews>
  <sheetFormatPr defaultColWidth="9.140625" defaultRowHeight="12.75"/>
  <cols>
    <col min="1" max="1" width="7.7109375" style="3" customWidth="1"/>
    <col min="2" max="2" width="50.140625" style="3" customWidth="1"/>
    <col min="3" max="3" width="16.7109375" style="12" customWidth="1"/>
    <col min="4" max="4" width="1.7109375" style="12" customWidth="1"/>
    <col min="5" max="5" width="16.7109375" style="12" customWidth="1"/>
    <col min="6" max="16384" width="9.140625" style="3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84</v>
      </c>
      <c r="C3" s="16"/>
      <c r="D3" s="16"/>
      <c r="E3" s="16"/>
    </row>
    <row r="4" spans="1:5" s="2" customFormat="1" ht="15.75">
      <c r="A4" s="2" t="s">
        <v>134</v>
      </c>
      <c r="C4" s="16"/>
      <c r="D4" s="16"/>
      <c r="E4" s="16"/>
    </row>
    <row r="6" spans="3:5" s="1" customFormat="1" ht="12.75">
      <c r="C6" s="17" t="s">
        <v>38</v>
      </c>
      <c r="D6" s="17"/>
      <c r="E6" s="17" t="s">
        <v>39</v>
      </c>
    </row>
    <row r="7" spans="3:5" s="1" customFormat="1" ht="12.75">
      <c r="C7" s="41" t="s">
        <v>133</v>
      </c>
      <c r="D7" s="18"/>
      <c r="E7" s="41" t="s">
        <v>90</v>
      </c>
    </row>
    <row r="8" spans="3:5" s="1" customFormat="1" ht="12.75">
      <c r="C8" s="17" t="s">
        <v>49</v>
      </c>
      <c r="D8" s="17"/>
      <c r="E8" s="17" t="s">
        <v>49</v>
      </c>
    </row>
    <row r="10" spans="1:5" ht="12.75">
      <c r="A10" s="1" t="s">
        <v>23</v>
      </c>
      <c r="C10" s="11">
        <f>+'[4]bs line-up'!$U$28/1000</f>
        <v>7961.236570000002</v>
      </c>
      <c r="D10" s="11"/>
      <c r="E10" s="11">
        <v>8061</v>
      </c>
    </row>
    <row r="11" spans="1:5" ht="12.75">
      <c r="A11" s="1" t="s">
        <v>24</v>
      </c>
      <c r="C11" s="11">
        <f>+'[4]bs line-up'!$U$34/1000</f>
        <v>325</v>
      </c>
      <c r="D11" s="11"/>
      <c r="E11" s="11">
        <v>325</v>
      </c>
    </row>
    <row r="12" spans="1:5" ht="12.75">
      <c r="A12" s="1" t="s">
        <v>121</v>
      </c>
      <c r="C12" s="11">
        <f>+'[4]bs line-up'!$U$33/1000</f>
        <v>5867.812</v>
      </c>
      <c r="D12" s="11"/>
      <c r="E12" s="11">
        <v>5024</v>
      </c>
    </row>
    <row r="13" spans="1:5" ht="12.75">
      <c r="A13" s="1" t="s">
        <v>86</v>
      </c>
      <c r="C13" s="11">
        <f>1592200/1000</f>
        <v>1592.2</v>
      </c>
      <c r="D13" s="11"/>
      <c r="E13" s="11">
        <v>5627</v>
      </c>
    </row>
    <row r="14" spans="1:5" ht="12.75">
      <c r="A14" s="1"/>
      <c r="C14" s="11"/>
      <c r="D14" s="11"/>
      <c r="E14" s="11"/>
    </row>
    <row r="15" spans="3:5" ht="12.75">
      <c r="C15" s="11"/>
      <c r="D15" s="11"/>
      <c r="E15" s="11"/>
    </row>
    <row r="16" spans="1:5" ht="12.75">
      <c r="A16" s="1" t="s">
        <v>10</v>
      </c>
      <c r="C16" s="11"/>
      <c r="D16" s="11"/>
      <c r="E16" s="11"/>
    </row>
    <row r="17" spans="2:5" ht="12.75">
      <c r="B17" s="3" t="s">
        <v>25</v>
      </c>
      <c r="C17" s="11">
        <f>+'[4]bs line-up'!$U$39/1000</f>
        <v>8071.87</v>
      </c>
      <c r="D17" s="11"/>
      <c r="E17" s="11">
        <v>7940</v>
      </c>
    </row>
    <row r="18" spans="2:5" ht="12.75">
      <c r="B18" s="3" t="s">
        <v>29</v>
      </c>
      <c r="C18" s="48">
        <f>+'[4]bs line-up'!$U$38/1000-'[4]bs line-up'!$U$51/1000</f>
        <v>78644.40763739143</v>
      </c>
      <c r="D18" s="11"/>
      <c r="E18" s="11">
        <v>47048</v>
      </c>
    </row>
    <row r="19" spans="2:5" ht="12.75">
      <c r="B19" s="3" t="s">
        <v>28</v>
      </c>
      <c r="C19" s="11">
        <f>+'[4]bs line-up'!$U$40/1000</f>
        <v>8433.731629999998</v>
      </c>
      <c r="D19" s="11"/>
      <c r="E19" s="11">
        <v>8030</v>
      </c>
    </row>
    <row r="20" spans="2:5" ht="12.75">
      <c r="B20" s="3" t="s">
        <v>11</v>
      </c>
      <c r="C20" s="11">
        <f>+SUM('[7]bs line-up'!$U$41:$U$42)/1000</f>
        <v>38152.07808</v>
      </c>
      <c r="D20" s="11"/>
      <c r="E20" s="11">
        <f>30853+7</f>
        <v>30860</v>
      </c>
    </row>
    <row r="21" spans="2:5" ht="12.75">
      <c r="B21" s="3" t="s">
        <v>26</v>
      </c>
      <c r="C21" s="11">
        <f>+SUM('[7]bs line-up'!$U$47:$U$48)/1000</f>
        <v>11213.754490000003</v>
      </c>
      <c r="D21" s="11"/>
      <c r="E21" s="11">
        <v>10133</v>
      </c>
    </row>
    <row r="22" spans="3:5" ht="12.75">
      <c r="C22" s="19">
        <f>SUM(C17:C21)</f>
        <v>144515.8418373914</v>
      </c>
      <c r="D22" s="11"/>
      <c r="E22" s="19">
        <f>SUM(E17:E21)</f>
        <v>104011</v>
      </c>
    </row>
    <row r="23" spans="3:5" ht="12.75">
      <c r="C23" s="11"/>
      <c r="D23" s="11"/>
      <c r="E23" s="11"/>
    </row>
    <row r="24" spans="1:5" ht="12.75">
      <c r="A24" s="1" t="s">
        <v>12</v>
      </c>
      <c r="C24" s="11"/>
      <c r="D24" s="11"/>
      <c r="E24" s="11"/>
    </row>
    <row r="25" spans="2:5" ht="12.75">
      <c r="B25" s="3" t="s">
        <v>13</v>
      </c>
      <c r="C25" s="11">
        <f>+SUM('[4]bs line-up'!$U$56:$U$62)/1000</f>
        <v>56068.848939999974</v>
      </c>
      <c r="D25" s="11"/>
      <c r="E25" s="11">
        <v>37555</v>
      </c>
    </row>
    <row r="26" spans="2:5" ht="12.75">
      <c r="B26" s="3" t="s">
        <v>22</v>
      </c>
      <c r="C26" s="48">
        <f>+SUM('[7]bs line-up'!$U$63:$U$65)/1000</f>
        <v>35527.11419</v>
      </c>
      <c r="D26" s="11"/>
      <c r="E26" s="11">
        <v>14396</v>
      </c>
    </row>
    <row r="27" spans="2:5" ht="12.75">
      <c r="B27" s="3" t="s">
        <v>8</v>
      </c>
      <c r="C27" s="11">
        <f>+'[4]bs line-up'!$U$66/1000</f>
        <v>6585.8466036</v>
      </c>
      <c r="D27" s="11"/>
      <c r="E27" s="11">
        <v>7068</v>
      </c>
    </row>
    <row r="28" spans="3:5" ht="12.75">
      <c r="C28" s="19">
        <f>SUM(C24:C27)</f>
        <v>98181.80973359998</v>
      </c>
      <c r="D28" s="11"/>
      <c r="E28" s="19">
        <f>SUM(E24:E27)</f>
        <v>59019</v>
      </c>
    </row>
    <row r="29" spans="3:5" ht="12.75">
      <c r="C29" s="11"/>
      <c r="D29" s="11"/>
      <c r="E29" s="11"/>
    </row>
    <row r="30" spans="1:5" ht="12.75">
      <c r="A30" s="1" t="s">
        <v>55</v>
      </c>
      <c r="C30" s="11">
        <f>+C22-C28</f>
        <v>46334.032103791425</v>
      </c>
      <c r="D30" s="11"/>
      <c r="E30" s="11">
        <f>+E22-+E28</f>
        <v>44992</v>
      </c>
    </row>
    <row r="31" spans="3:5" ht="12.75">
      <c r="C31" s="11"/>
      <c r="D31" s="11"/>
      <c r="E31" s="11"/>
    </row>
    <row r="32" spans="3:5" s="1" customFormat="1" ht="13.5" thickBot="1">
      <c r="C32" s="23">
        <f>+C30+SUM(C9:C14)</f>
        <v>62080.28067379143</v>
      </c>
      <c r="D32" s="39"/>
      <c r="E32" s="23">
        <f>+E30+SUM(E9:E14)</f>
        <v>64029</v>
      </c>
    </row>
    <row r="33" spans="2:5" ht="13.5" thickTop="1">
      <c r="B33" s="3" t="s">
        <v>0</v>
      </c>
      <c r="C33" s="11" t="s">
        <v>0</v>
      </c>
      <c r="D33" s="11"/>
      <c r="E33" s="11"/>
    </row>
    <row r="34" spans="1:5" ht="12.75">
      <c r="A34" s="3" t="s">
        <v>15</v>
      </c>
      <c r="C34" s="11">
        <f>+'[4]bs line-up'!$U$9/1000</f>
        <v>46797.679</v>
      </c>
      <c r="D34" s="11"/>
      <c r="E34" s="11">
        <v>42415</v>
      </c>
    </row>
    <row r="35" spans="1:5" ht="12.75">
      <c r="A35" s="3" t="s">
        <v>16</v>
      </c>
      <c r="C35" s="11" t="s">
        <v>0</v>
      </c>
      <c r="D35" s="11"/>
      <c r="E35" s="11"/>
    </row>
    <row r="36" spans="2:5" ht="12.75">
      <c r="B36" s="3" t="s">
        <v>17</v>
      </c>
      <c r="C36" s="11">
        <f>+'[4]bs line-up'!$U$10/1000</f>
        <v>9388.30823</v>
      </c>
      <c r="D36" s="11"/>
      <c r="E36" s="11">
        <v>7687</v>
      </c>
    </row>
    <row r="37" spans="2:5" ht="12.75">
      <c r="B37" s="3" t="s">
        <v>18</v>
      </c>
      <c r="C37" s="11">
        <f>-7715872/1000</f>
        <v>-7715.872</v>
      </c>
      <c r="D37" s="11"/>
      <c r="E37" s="11">
        <v>4948</v>
      </c>
    </row>
    <row r="38" spans="2:5" ht="12.75">
      <c r="B38" s="3" t="s">
        <v>19</v>
      </c>
      <c r="C38" s="24">
        <f>+'[4]bs line-up'!$U$11/1000</f>
        <v>29.994</v>
      </c>
      <c r="D38" s="11"/>
      <c r="E38" s="24">
        <v>30</v>
      </c>
    </row>
    <row r="39" spans="1:5" ht="12.75">
      <c r="A39" s="1" t="s">
        <v>14</v>
      </c>
      <c r="C39" s="11">
        <f>SUM(C34:C38)</f>
        <v>48500.109229999995</v>
      </c>
      <c r="D39" s="11"/>
      <c r="E39" s="11">
        <f>SUM(E34:E38)</f>
        <v>55080</v>
      </c>
    </row>
    <row r="40" spans="3:5" ht="12.75">
      <c r="C40" s="11"/>
      <c r="D40" s="11"/>
      <c r="E40" s="11"/>
    </row>
    <row r="41" spans="1:5" ht="12.75">
      <c r="A41" s="1" t="s">
        <v>20</v>
      </c>
      <c r="C41" s="11">
        <f>+'[4]bs line-up'!$U$15/1000</f>
        <v>2513.8576232954015</v>
      </c>
      <c r="D41" s="11"/>
      <c r="E41" s="11">
        <v>4004</v>
      </c>
    </row>
    <row r="42" spans="3:5" ht="12.75">
      <c r="C42" s="11"/>
      <c r="D42" s="11"/>
      <c r="E42" s="11"/>
    </row>
    <row r="43" spans="1:5" ht="12.75">
      <c r="A43" s="1" t="s">
        <v>27</v>
      </c>
      <c r="C43" s="11">
        <f>+'[4]bs line-up'!$U$19/1000</f>
        <v>168.304</v>
      </c>
      <c r="D43" s="11"/>
      <c r="E43" s="11">
        <v>1104</v>
      </c>
    </row>
    <row r="44" spans="1:5" ht="12.75">
      <c r="A44" s="1" t="s">
        <v>21</v>
      </c>
      <c r="C44" s="11">
        <f>+'[4]bs line-up'!$U$20/1000</f>
        <v>10758.899529999999</v>
      </c>
      <c r="D44" s="11"/>
      <c r="E44" s="11">
        <v>3680</v>
      </c>
    </row>
    <row r="45" spans="1:5" ht="12.75">
      <c r="A45" s="1" t="s">
        <v>85</v>
      </c>
      <c r="C45" s="11">
        <f>+'[4]bs line-up'!$U$18/1000</f>
        <v>139.111</v>
      </c>
      <c r="D45" s="11"/>
      <c r="E45" s="11">
        <v>161</v>
      </c>
    </row>
    <row r="46" spans="3:5" ht="12.75">
      <c r="C46" s="11"/>
      <c r="D46" s="11"/>
      <c r="E46" s="11"/>
    </row>
    <row r="47" spans="3:5" s="1" customFormat="1" ht="13.5" thickBot="1">
      <c r="C47" s="23">
        <f>SUM(C39:C46)</f>
        <v>62080.28138329539</v>
      </c>
      <c r="D47" s="39"/>
      <c r="E47" s="23">
        <f>SUM(E39:E46)</f>
        <v>64029</v>
      </c>
    </row>
    <row r="48" spans="3:5" s="1" customFormat="1" ht="13.5" thickTop="1">
      <c r="C48" s="39"/>
      <c r="D48" s="39"/>
      <c r="E48" s="39"/>
    </row>
    <row r="49" spans="1:5" s="1" customFormat="1" ht="12.75">
      <c r="A49" s="1" t="s">
        <v>149</v>
      </c>
      <c r="C49" s="62">
        <f>(+C32-SUM(C43:C45))/C34</f>
        <v>1.0900960738627965</v>
      </c>
      <c r="D49" s="62"/>
      <c r="E49" s="62">
        <f>(+E32-SUM(E43:E45))/E34</f>
        <v>1.392997760226335</v>
      </c>
    </row>
    <row r="50" spans="3:5" ht="12.75">
      <c r="C50" s="63"/>
      <c r="D50" s="63"/>
      <c r="E50" s="63"/>
    </row>
    <row r="51" spans="1:5" ht="12.75">
      <c r="A51" s="3" t="s">
        <v>150</v>
      </c>
      <c r="C51" s="11"/>
      <c r="D51" s="11"/>
      <c r="E51" s="11"/>
    </row>
    <row r="52" spans="1:5" ht="12.75">
      <c r="A52" s="3" t="s">
        <v>151</v>
      </c>
      <c r="C52" s="11"/>
      <c r="D52" s="11"/>
      <c r="E52" s="11"/>
    </row>
    <row r="53" spans="3:5" ht="12.75">
      <c r="C53" s="11"/>
      <c r="D53" s="11"/>
      <c r="E53" s="11"/>
    </row>
    <row r="54" spans="3:5" ht="12.75">
      <c r="C54" s="11"/>
      <c r="D54" s="11"/>
      <c r="E54" s="11"/>
    </row>
    <row r="55" s="12" customFormat="1" ht="12.75">
      <c r="A55" s="12" t="s">
        <v>89</v>
      </c>
    </row>
    <row r="56" s="12" customFormat="1" ht="12.75">
      <c r="A56" s="12" t="s">
        <v>119</v>
      </c>
    </row>
    <row r="57" ht="12.75">
      <c r="A57" s="44"/>
    </row>
    <row r="59" spans="3:5" ht="12.75">
      <c r="C59" s="11">
        <f>+C47-C32</f>
        <v>0.0007095039618434384</v>
      </c>
      <c r="D59" s="11"/>
      <c r="E59" s="11">
        <f>+E47-E32</f>
        <v>0</v>
      </c>
    </row>
  </sheetData>
  <printOptions/>
  <pageMargins left="0.67" right="0.19" top="1" bottom="0.75" header="0.5" footer="0.5"/>
  <pageSetup horizontalDpi="300" verticalDpi="300" orientation="portrait" paperSize="9" scale="94" r:id="rId1"/>
  <headerFooter alignWithMargins="0">
    <oddHeader>&amp;R2</oddHeader>
  </headerFooter>
  <rowBreaks count="1" manualBreakCount="1"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SheetLayoutView="100" workbookViewId="0" topLeftCell="A70">
      <selection activeCell="I75" sqref="I75"/>
    </sheetView>
  </sheetViews>
  <sheetFormatPr defaultColWidth="9.140625" defaultRowHeight="12.75"/>
  <cols>
    <col min="1" max="1" width="2.7109375" style="3" customWidth="1"/>
    <col min="2" max="2" width="3.28125" style="3" customWidth="1"/>
    <col min="3" max="7" width="9.140625" style="3" customWidth="1"/>
    <col min="8" max="8" width="3.421875" style="3" customWidth="1"/>
    <col min="9" max="9" width="5.421875" style="3" customWidth="1"/>
    <col min="10" max="10" width="7.140625" style="3" customWidth="1"/>
    <col min="11" max="11" width="13.00390625" style="3" customWidth="1"/>
    <col min="12" max="12" width="1.421875" style="3" customWidth="1"/>
    <col min="13" max="13" width="11.7109375" style="3" customWidth="1"/>
    <col min="14" max="16384" width="9.140625" style="3" customWidth="1"/>
  </cols>
  <sheetData>
    <row r="1" ht="15.75">
      <c r="A1" s="2" t="s">
        <v>9</v>
      </c>
    </row>
    <row r="2" ht="15.75">
      <c r="A2" s="2" t="s">
        <v>80</v>
      </c>
    </row>
    <row r="3" ht="15.75">
      <c r="A3" s="2" t="s">
        <v>135</v>
      </c>
    </row>
    <row r="4" ht="12.75">
      <c r="A4" s="1"/>
    </row>
    <row r="5" spans="11:13" ht="12.75">
      <c r="K5" s="57" t="s">
        <v>133</v>
      </c>
      <c r="M5" s="57" t="s">
        <v>90</v>
      </c>
    </row>
    <row r="6" spans="11:13" ht="12.75">
      <c r="K6" s="8" t="s">
        <v>49</v>
      </c>
      <c r="M6" s="8" t="s">
        <v>49</v>
      </c>
    </row>
    <row r="7" ht="12.75">
      <c r="K7" s="54"/>
    </row>
    <row r="8" spans="1:11" ht="12.75">
      <c r="A8" s="1" t="s">
        <v>67</v>
      </c>
      <c r="K8" s="50"/>
    </row>
    <row r="9" spans="2:13" ht="12.75">
      <c r="B9" s="3" t="s">
        <v>114</v>
      </c>
      <c r="K9" s="50">
        <f>'[5]P&amp;L 31122005'!$U$40/1000</f>
        <v>-12801.852252608585</v>
      </c>
      <c r="M9" s="50">
        <v>3625</v>
      </c>
    </row>
    <row r="10" spans="11:13" ht="12.75">
      <c r="K10" s="50"/>
      <c r="M10" s="50"/>
    </row>
    <row r="11" spans="2:13" ht="12.75">
      <c r="B11" s="3" t="s">
        <v>91</v>
      </c>
      <c r="K11" s="50"/>
      <c r="M11" s="50"/>
    </row>
    <row r="12" spans="3:13" ht="12.75">
      <c r="C12" s="3" t="s">
        <v>92</v>
      </c>
      <c r="K12" s="50">
        <f>+'[6]MPB-QR - revised'!$I$12</f>
        <v>1404.22266</v>
      </c>
      <c r="M12" s="50">
        <v>1732</v>
      </c>
    </row>
    <row r="13" spans="3:13" ht="12.75">
      <c r="C13" s="3" t="s">
        <v>93</v>
      </c>
      <c r="K13" s="50">
        <f>+'[6]MPB-QR - revised'!$I$13</f>
        <v>-34.001</v>
      </c>
      <c r="M13" s="50">
        <v>-395</v>
      </c>
    </row>
    <row r="14" spans="3:13" ht="12.75" hidden="1">
      <c r="C14" s="3" t="s">
        <v>94</v>
      </c>
      <c r="K14" s="50">
        <v>0</v>
      </c>
      <c r="M14" s="50">
        <v>0</v>
      </c>
    </row>
    <row r="15" spans="3:13" ht="12.75" hidden="1">
      <c r="C15" s="3" t="s">
        <v>87</v>
      </c>
      <c r="K15" s="50">
        <v>0</v>
      </c>
      <c r="M15" s="50">
        <v>0</v>
      </c>
    </row>
    <row r="16" spans="3:13" ht="12.75">
      <c r="C16" s="3" t="s">
        <v>94</v>
      </c>
      <c r="K16" s="50">
        <f>+'[3]MPB-QR'!$J$14</f>
        <v>0</v>
      </c>
      <c r="M16" s="50">
        <v>262</v>
      </c>
    </row>
    <row r="17" spans="3:13" ht="12.75">
      <c r="C17" s="3" t="s">
        <v>87</v>
      </c>
      <c r="K17" s="50">
        <f>+'[6]MPB-QR - revised'!$I$15</f>
        <v>8.838</v>
      </c>
      <c r="M17" s="50">
        <v>0</v>
      </c>
    </row>
    <row r="18" spans="3:13" ht="12.75">
      <c r="C18" s="3" t="s">
        <v>138</v>
      </c>
      <c r="K18" s="50">
        <v>0</v>
      </c>
      <c r="M18" s="50">
        <v>100</v>
      </c>
    </row>
    <row r="19" spans="3:13" ht="12.75">
      <c r="C19" s="3" t="s">
        <v>68</v>
      </c>
      <c r="K19" s="55">
        <f>+'[6]MPB-QR - revised'!$I$17</f>
        <v>-66.5126</v>
      </c>
      <c r="M19" s="50">
        <v>-97</v>
      </c>
    </row>
    <row r="20" spans="3:13" ht="12.75">
      <c r="C20" s="3" t="s">
        <v>95</v>
      </c>
      <c r="K20" s="55">
        <f>+'[6]MPB-QR - revised'!$I$18</f>
        <v>1580.98694</v>
      </c>
      <c r="M20" s="50">
        <v>1545</v>
      </c>
    </row>
    <row r="21" spans="3:13" ht="12.75">
      <c r="C21" s="3" t="s">
        <v>139</v>
      </c>
      <c r="K21" s="55">
        <v>0</v>
      </c>
      <c r="M21" s="50">
        <v>-130</v>
      </c>
    </row>
    <row r="22" spans="3:13" ht="12.75">
      <c r="C22" s="3" t="s">
        <v>88</v>
      </c>
      <c r="K22" s="55">
        <v>0</v>
      </c>
      <c r="M22" s="50">
        <v>2</v>
      </c>
    </row>
    <row r="23" spans="3:13" ht="12.75">
      <c r="C23" s="3" t="s">
        <v>96</v>
      </c>
      <c r="K23" s="40">
        <v>0</v>
      </c>
      <c r="L23" s="12"/>
      <c r="M23" s="11">
        <v>-151</v>
      </c>
    </row>
    <row r="24" spans="3:13" ht="12.75">
      <c r="C24" s="3" t="s">
        <v>148</v>
      </c>
      <c r="K24" s="42">
        <f>'[5]bs line-up'!$Q$85/1000</f>
        <v>4034.37132</v>
      </c>
      <c r="M24" s="24">
        <v>0</v>
      </c>
    </row>
    <row r="25" spans="11:13" ht="12.75">
      <c r="K25" s="11"/>
      <c r="M25" s="11"/>
    </row>
    <row r="26" spans="2:13" ht="12.75">
      <c r="B26" s="3" t="s">
        <v>122</v>
      </c>
      <c r="K26" s="40">
        <f>SUM(K9:K25)-1</f>
        <v>-5874.9469326085855</v>
      </c>
      <c r="L26" s="51"/>
      <c r="M26" s="40">
        <f>SUM(M9:M25)</f>
        <v>6493</v>
      </c>
    </row>
    <row r="27" spans="11:13" ht="12.75">
      <c r="K27" s="50"/>
      <c r="M27" s="50"/>
    </row>
    <row r="28" spans="2:13" ht="12.75">
      <c r="B28" s="3" t="s">
        <v>113</v>
      </c>
      <c r="K28" s="50"/>
      <c r="M28" s="50"/>
    </row>
    <row r="29" spans="3:13" ht="12.75">
      <c r="C29" s="3" t="s">
        <v>28</v>
      </c>
      <c r="K29" s="11">
        <f>+'[6]MPB-QR - revised'!$I$27</f>
        <v>-403.4446199999998</v>
      </c>
      <c r="L29" s="12"/>
      <c r="M29" s="11">
        <v>2533</v>
      </c>
    </row>
    <row r="30" spans="3:13" ht="12.75">
      <c r="C30" s="3" t="s">
        <v>97</v>
      </c>
      <c r="K30" s="11">
        <f>+'[6]MPB-QR - revised'!$I$28</f>
        <v>-131.85</v>
      </c>
      <c r="L30" s="12"/>
      <c r="M30" s="11">
        <v>-3698</v>
      </c>
    </row>
    <row r="31" spans="3:13" ht="12.75">
      <c r="C31" s="3" t="s">
        <v>75</v>
      </c>
      <c r="K31" s="40">
        <f>+'[6]MPB-QR - revised'!$I$29</f>
        <v>-38803.70224</v>
      </c>
      <c r="L31" s="12"/>
      <c r="M31" s="40">
        <f>-16418+3536</f>
        <v>-12882</v>
      </c>
    </row>
    <row r="32" spans="3:13" ht="12.75" hidden="1">
      <c r="C32" s="3" t="s">
        <v>126</v>
      </c>
      <c r="K32" s="40">
        <v>0</v>
      </c>
      <c r="L32" s="12"/>
      <c r="M32" s="11">
        <v>0</v>
      </c>
    </row>
    <row r="33" spans="3:13" ht="12.75">
      <c r="C33" s="3" t="s">
        <v>98</v>
      </c>
      <c r="K33" s="11">
        <f>+'[6]MPB-QR - revised'!$I$30+1.44</f>
        <v>-9291.422129999999</v>
      </c>
      <c r="L33" s="12"/>
      <c r="M33" s="11">
        <f>24275+8431</f>
        <v>32706</v>
      </c>
    </row>
    <row r="34" spans="3:13" ht="12.75">
      <c r="C34" s="3" t="s">
        <v>99</v>
      </c>
      <c r="K34" s="24">
        <f>+'[6]MPB-QR - revised'!$I$31</f>
        <v>25208.867059999993</v>
      </c>
      <c r="L34" s="12"/>
      <c r="M34" s="24">
        <f>-18163-4945</f>
        <v>-23108</v>
      </c>
    </row>
    <row r="35" spans="3:13" ht="12.75" hidden="1">
      <c r="C35" s="3" t="s">
        <v>76</v>
      </c>
      <c r="K35" s="24">
        <f>+'[2]group'!$T$26/1000</f>
        <v>0</v>
      </c>
      <c r="L35" s="12"/>
      <c r="M35" s="24">
        <v>0</v>
      </c>
    </row>
    <row r="36" spans="3:13" ht="12.75" hidden="1">
      <c r="C36" s="3" t="s">
        <v>103</v>
      </c>
      <c r="K36" s="11">
        <v>0</v>
      </c>
      <c r="L36" s="12"/>
      <c r="M36" s="11">
        <v>0</v>
      </c>
    </row>
    <row r="37" spans="3:13" ht="12.75" hidden="1">
      <c r="C37" s="3" t="s">
        <v>76</v>
      </c>
      <c r="K37" s="24">
        <v>0</v>
      </c>
      <c r="L37" s="12"/>
      <c r="M37" s="24">
        <v>0</v>
      </c>
    </row>
    <row r="38" spans="11:13" ht="12.75">
      <c r="K38" s="11">
        <f>SUM(K29:K37)+1</f>
        <v>-23420.551930000005</v>
      </c>
      <c r="L38" s="12"/>
      <c r="M38" s="11">
        <f>SUM(M29:M37)</f>
        <v>-4449</v>
      </c>
    </row>
    <row r="39" spans="11:13" ht="12.75">
      <c r="K39" s="11"/>
      <c r="M39" s="11"/>
    </row>
    <row r="40" spans="2:13" ht="12.75">
      <c r="B40" s="3" t="s">
        <v>115</v>
      </c>
      <c r="K40" s="50">
        <f>+K26+K38-1</f>
        <v>-29296.49886260859</v>
      </c>
      <c r="M40" s="50">
        <f>+M26+M38</f>
        <v>2044</v>
      </c>
    </row>
    <row r="41" spans="11:13" ht="12.75">
      <c r="K41" s="50"/>
      <c r="M41" s="50"/>
    </row>
    <row r="42" spans="3:13" ht="12.75">
      <c r="C42" s="3" t="s">
        <v>100</v>
      </c>
      <c r="K42" s="11">
        <f>+'[6]MPB-QR - revised'!$I$37-0.4</f>
        <v>-937.7719999999999</v>
      </c>
      <c r="L42" s="12"/>
      <c r="M42" s="11">
        <v>-768</v>
      </c>
    </row>
    <row r="43" spans="3:13" ht="12.75">
      <c r="C43" s="3" t="s">
        <v>69</v>
      </c>
      <c r="K43" s="40">
        <f>+'[6]MPB-QR - revised'!$I$38</f>
        <v>66.5126</v>
      </c>
      <c r="L43" s="12"/>
      <c r="M43" s="11">
        <v>97</v>
      </c>
    </row>
    <row r="44" spans="3:13" ht="12.75">
      <c r="C44" s="3" t="s">
        <v>70</v>
      </c>
      <c r="K44" s="42">
        <f>+'[6]MPB-QR - revised'!$I$39</f>
        <v>-1580.98694</v>
      </c>
      <c r="L44" s="12"/>
      <c r="M44" s="24">
        <v>-1545</v>
      </c>
    </row>
    <row r="45" spans="11:13" ht="12.75">
      <c r="K45" s="11">
        <f>SUM(K42:K44)</f>
        <v>-2452.2463399999997</v>
      </c>
      <c r="L45" s="12"/>
      <c r="M45" s="11">
        <f>SUM(M42:M44)</f>
        <v>-2216</v>
      </c>
    </row>
    <row r="46" spans="11:13" ht="12.75">
      <c r="K46" s="50"/>
      <c r="M46" s="11"/>
    </row>
    <row r="47" spans="2:13" ht="12.75">
      <c r="B47" s="3" t="s">
        <v>116</v>
      </c>
      <c r="K47" s="24">
        <f>+K40+K45+0.4</f>
        <v>-31748.345202608587</v>
      </c>
      <c r="M47" s="24">
        <f>+M40+M45</f>
        <v>-172</v>
      </c>
    </row>
    <row r="48" spans="11:13" ht="12.75">
      <c r="K48" s="11"/>
      <c r="M48" s="11"/>
    </row>
    <row r="49" spans="2:13" ht="12.75">
      <c r="B49" s="1" t="s">
        <v>71</v>
      </c>
      <c r="K49" s="50"/>
      <c r="M49" s="50"/>
    </row>
    <row r="50" spans="3:13" ht="12.75">
      <c r="C50" s="3" t="s">
        <v>72</v>
      </c>
      <c r="K50" s="50">
        <f>+'[6]MPB-QR - revised'!$I$45</f>
        <v>-1007.6820800000003</v>
      </c>
      <c r="M50" s="50">
        <v>-1397</v>
      </c>
    </row>
    <row r="51" spans="3:13" ht="12.75">
      <c r="C51" s="3" t="s">
        <v>140</v>
      </c>
      <c r="K51" s="50">
        <v>0</v>
      </c>
      <c r="M51" s="50">
        <v>-5264</v>
      </c>
    </row>
    <row r="52" spans="3:13" ht="12.75">
      <c r="C52" s="3" t="s">
        <v>102</v>
      </c>
      <c r="K52" s="24">
        <f>+'[6]MPB-QR - revised'!$I$47</f>
        <v>35.701</v>
      </c>
      <c r="M52" s="24">
        <v>1857</v>
      </c>
    </row>
    <row r="53" spans="3:13" ht="12.75" hidden="1">
      <c r="C53" s="59" t="s">
        <v>103</v>
      </c>
      <c r="D53" s="59"/>
      <c r="E53" s="59"/>
      <c r="F53" s="59"/>
      <c r="G53" s="59"/>
      <c r="H53" s="59"/>
      <c r="I53" s="59"/>
      <c r="J53" s="59"/>
      <c r="K53" s="60">
        <v>0</v>
      </c>
      <c r="L53" s="59">
        <v>0</v>
      </c>
      <c r="M53" s="61">
        <v>0</v>
      </c>
    </row>
    <row r="55" spans="2:13" ht="12.75">
      <c r="B55" s="3" t="s">
        <v>117</v>
      </c>
      <c r="K55" s="11">
        <f>SUM(K50:K54)</f>
        <v>-971.9810800000002</v>
      </c>
      <c r="M55" s="11">
        <f>SUM(M50:M54)</f>
        <v>-4804</v>
      </c>
    </row>
    <row r="56" spans="11:13" ht="12.75">
      <c r="K56" s="50"/>
      <c r="M56" s="50"/>
    </row>
    <row r="57" spans="2:13" ht="12.75">
      <c r="B57" s="1" t="s">
        <v>73</v>
      </c>
      <c r="K57" s="50"/>
      <c r="M57" s="50"/>
    </row>
    <row r="58" spans="3:13" ht="12.75">
      <c r="C58" s="3" t="s">
        <v>130</v>
      </c>
      <c r="K58" s="50">
        <f>+'[6]MPB-QR - revised'!$I$52</f>
        <v>-352.16137000000003</v>
      </c>
      <c r="M58" s="50">
        <v>-972</v>
      </c>
    </row>
    <row r="59" spans="3:13" ht="12.75">
      <c r="C59" s="3" t="s">
        <v>131</v>
      </c>
      <c r="K59" s="50">
        <f>+'[6]MPB-QR - revised'!$I$53</f>
        <v>-2012.8925900000002</v>
      </c>
      <c r="M59" s="50">
        <v>-5332</v>
      </c>
    </row>
    <row r="60" spans="3:13" ht="12.75" hidden="1">
      <c r="C60" s="3" t="s">
        <v>127</v>
      </c>
      <c r="K60" s="50">
        <v>0</v>
      </c>
      <c r="M60" s="50">
        <v>0</v>
      </c>
    </row>
    <row r="61" spans="3:13" ht="12.75">
      <c r="C61" s="3" t="s">
        <v>129</v>
      </c>
      <c r="K61" s="50">
        <f>+'[6]MPB-QR - revised'!$I$55</f>
        <v>27422.46314</v>
      </c>
      <c r="M61" s="50">
        <v>4486</v>
      </c>
    </row>
    <row r="62" spans="3:13" ht="12.75">
      <c r="C62" s="3" t="s">
        <v>141</v>
      </c>
      <c r="K62" s="50">
        <f>+'[6]MPB-QR - revised'!$I$56</f>
        <v>-1186.0160700000004</v>
      </c>
      <c r="M62" s="50">
        <v>-4524</v>
      </c>
    </row>
    <row r="63" spans="3:13" ht="12.75">
      <c r="C63" s="3" t="s">
        <v>104</v>
      </c>
      <c r="K63" s="11">
        <f>+'[6]MPB-QR - revised'!$I$57</f>
        <v>5942.9415</v>
      </c>
      <c r="M63" s="50">
        <v>4833</v>
      </c>
    </row>
    <row r="64" spans="3:13" ht="12.75">
      <c r="C64" s="3" t="s">
        <v>105</v>
      </c>
      <c r="K64" s="24">
        <v>0</v>
      </c>
      <c r="M64" s="24">
        <v>-53</v>
      </c>
    </row>
    <row r="65" spans="3:13" ht="12.75" hidden="1">
      <c r="C65" s="3" t="s">
        <v>105</v>
      </c>
      <c r="K65" s="24">
        <v>0</v>
      </c>
      <c r="M65" s="24">
        <v>0</v>
      </c>
    </row>
    <row r="66" spans="11:13" ht="12.75">
      <c r="K66" s="50"/>
      <c r="M66" s="50"/>
    </row>
    <row r="67" spans="2:13" ht="12.75">
      <c r="B67" s="3" t="s">
        <v>118</v>
      </c>
      <c r="K67" s="11">
        <f>SUM(K58:K66)</f>
        <v>29814.334609999998</v>
      </c>
      <c r="L67" s="12"/>
      <c r="M67" s="11">
        <f>SUM(M58:M66)</f>
        <v>-1562</v>
      </c>
    </row>
    <row r="68" spans="11:13" ht="12.75">
      <c r="K68" s="50"/>
      <c r="M68" s="50"/>
    </row>
    <row r="69" spans="2:13" ht="12.75">
      <c r="B69" s="1" t="s">
        <v>123</v>
      </c>
      <c r="K69" s="50"/>
      <c r="M69" s="50"/>
    </row>
    <row r="70" spans="2:13" ht="12.75">
      <c r="B70" s="1" t="s">
        <v>106</v>
      </c>
      <c r="K70" s="50">
        <f>+K47+K55+K67</f>
        <v>-2905.9916726085903</v>
      </c>
      <c r="M70" s="50">
        <f>+M47+M55+M67</f>
        <v>-6538</v>
      </c>
    </row>
    <row r="71" spans="2:13" ht="12.75">
      <c r="B71" s="1"/>
      <c r="K71" s="50"/>
      <c r="M71" s="50"/>
    </row>
    <row r="72" spans="2:13" ht="12.75">
      <c r="B72" s="1" t="s">
        <v>107</v>
      </c>
      <c r="K72" s="50"/>
      <c r="M72" s="50"/>
    </row>
    <row r="73" spans="2:13" ht="12.75">
      <c r="B73" s="1" t="s">
        <v>106</v>
      </c>
      <c r="K73" s="55">
        <f>+'[6]MPB-QR - revised'!$I$66</f>
        <v>-6899.14711</v>
      </c>
      <c r="M73" s="50">
        <v>-361</v>
      </c>
    </row>
    <row r="74" spans="2:13" ht="12.75">
      <c r="B74" s="1"/>
      <c r="K74" s="50"/>
      <c r="M74" s="50"/>
    </row>
    <row r="75" spans="2:13" ht="12.75">
      <c r="B75" s="1" t="s">
        <v>108</v>
      </c>
      <c r="K75" s="50"/>
      <c r="M75" s="50"/>
    </row>
    <row r="76" spans="2:13" ht="13.5" thickBot="1">
      <c r="B76" s="1" t="s">
        <v>106</v>
      </c>
      <c r="K76" s="53">
        <f>SUM(K70:K73)</f>
        <v>-9805.13878260859</v>
      </c>
      <c r="M76" s="53">
        <f>SUM(M70:M73)</f>
        <v>-6899</v>
      </c>
    </row>
    <row r="77" spans="11:13" ht="12.75">
      <c r="K77" s="50"/>
      <c r="M77" s="50"/>
    </row>
    <row r="78" spans="11:13" ht="12.75">
      <c r="K78" s="50"/>
      <c r="M78" s="50"/>
    </row>
    <row r="79" spans="2:13" ht="12.75">
      <c r="B79" s="3" t="s">
        <v>109</v>
      </c>
      <c r="K79" s="50"/>
      <c r="M79" s="50"/>
    </row>
    <row r="80" spans="3:13" ht="12.75">
      <c r="C80" s="3" t="s">
        <v>110</v>
      </c>
      <c r="K80" s="50">
        <f>+'[6]MPB-QR - revised'!$I$73</f>
        <v>3071.767539999999</v>
      </c>
      <c r="M80" s="50">
        <v>3644</v>
      </c>
    </row>
    <row r="81" spans="3:13" ht="12.75">
      <c r="C81" s="3" t="s">
        <v>142</v>
      </c>
      <c r="K81" s="50">
        <f>(262452.63+372.33+51138.78+100605.29+531489.65+484383)/1000</f>
        <v>1430.44168</v>
      </c>
      <c r="M81" s="50">
        <v>963</v>
      </c>
    </row>
    <row r="82" spans="3:13" ht="12.75">
      <c r="C82" s="3" t="s">
        <v>111</v>
      </c>
      <c r="K82" s="50">
        <f>+'[6]MPB-QR - revised'!$I$75</f>
        <v>6711.98495</v>
      </c>
      <c r="M82" s="50">
        <v>5526</v>
      </c>
    </row>
    <row r="83" spans="3:13" ht="12.75">
      <c r="C83" s="3" t="s">
        <v>112</v>
      </c>
      <c r="K83" s="50">
        <f>+'[6]MPB-QR - revised'!$I$76</f>
        <v>-14307.346619999998</v>
      </c>
      <c r="M83" s="50">
        <v>-11506</v>
      </c>
    </row>
    <row r="84" spans="3:13" ht="12.75">
      <c r="C84" s="3" t="s">
        <v>143</v>
      </c>
      <c r="K84" s="50">
        <f>+'[6]MPB-QR - revised'!$I$78</f>
        <v>-6711.98495</v>
      </c>
      <c r="M84" s="50">
        <v>-5526</v>
      </c>
    </row>
    <row r="85" spans="11:13" ht="13.5" thickBot="1">
      <c r="K85" s="52">
        <f>SUM(K80:K84)</f>
        <v>-9805.1374</v>
      </c>
      <c r="M85" s="53">
        <f>SUM(M80:M84)</f>
        <v>-6899</v>
      </c>
    </row>
    <row r="86" spans="11:13" ht="12.75">
      <c r="K86" s="45"/>
      <c r="M86" s="11"/>
    </row>
    <row r="87" spans="11:13" ht="12.75">
      <c r="K87" s="45"/>
      <c r="M87" s="11"/>
    </row>
    <row r="88" spans="1:13" ht="12.75">
      <c r="A88" s="12" t="s">
        <v>101</v>
      </c>
      <c r="M88" s="50"/>
    </row>
    <row r="89" spans="1:13" ht="12.75">
      <c r="A89" s="12" t="s">
        <v>119</v>
      </c>
      <c r="M89" s="50"/>
    </row>
    <row r="90" ht="12.75">
      <c r="M90" s="50"/>
    </row>
    <row r="91" spans="11:13" ht="12.75">
      <c r="K91" s="58">
        <f>K76-K85</f>
        <v>-0.0013826085905748187</v>
      </c>
      <c r="L91" s="56">
        <f>L76-L85</f>
        <v>0</v>
      </c>
      <c r="M91" s="56">
        <f>M76-M85</f>
        <v>0</v>
      </c>
    </row>
  </sheetData>
  <printOptions/>
  <pageMargins left="1.25" right="0.1" top="0.7" bottom="0.3" header="0.5" footer="0.5"/>
  <pageSetup firstPageNumber="3" useFirstPageNumber="1" horizontalDpi="300" verticalDpi="300" orientation="portrait" paperSize="9" scale="73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SheetLayoutView="100" workbookViewId="0" topLeftCell="D13">
      <selection activeCell="K27" sqref="K27"/>
    </sheetView>
  </sheetViews>
  <sheetFormatPr defaultColWidth="9.140625" defaultRowHeight="12.75"/>
  <cols>
    <col min="1" max="1" width="16.00390625" style="3" customWidth="1"/>
    <col min="2" max="2" width="1.28515625" style="3" customWidth="1"/>
    <col min="3" max="3" width="20.00390625" style="3" customWidth="1"/>
    <col min="4" max="4" width="0.71875" style="3" customWidth="1"/>
    <col min="5" max="5" width="14.7109375" style="3" customWidth="1"/>
    <col min="6" max="6" width="2.28125" style="3" customWidth="1"/>
    <col min="7" max="7" width="14.7109375" style="3" customWidth="1"/>
    <col min="8" max="8" width="2.28125" style="3" customWidth="1"/>
    <col min="9" max="9" width="14.7109375" style="3" customWidth="1"/>
    <col min="10" max="10" width="2.28125" style="3" customWidth="1"/>
    <col min="11" max="11" width="14.7109375" style="3" customWidth="1"/>
    <col min="12" max="12" width="2.28125" style="3" customWidth="1"/>
    <col min="13" max="13" width="14.7109375" style="3" customWidth="1"/>
    <col min="14" max="14" width="2.28125" style="3" customWidth="1"/>
    <col min="15" max="15" width="16.00390625" style="3" customWidth="1"/>
    <col min="16" max="19" width="9.28125" style="3" customWidth="1"/>
    <col min="20" max="16384" width="9.140625" style="3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83</v>
      </c>
      <c r="B3" s="2"/>
    </row>
    <row r="4" spans="1:2" s="20" customFormat="1" ht="15.75">
      <c r="A4" s="2" t="s">
        <v>132</v>
      </c>
      <c r="B4" s="2"/>
    </row>
    <row r="5" spans="1:2" s="20" customFormat="1" ht="15.75">
      <c r="A5" s="2"/>
      <c r="B5" s="2"/>
    </row>
    <row r="7" spans="5:15" s="30" customFormat="1" ht="12.75">
      <c r="E7" s="31" t="s">
        <v>56</v>
      </c>
      <c r="F7" s="31"/>
      <c r="G7" s="31" t="s">
        <v>56</v>
      </c>
      <c r="H7" s="31"/>
      <c r="I7" s="31" t="s">
        <v>57</v>
      </c>
      <c r="J7" s="31"/>
      <c r="K7" s="31" t="s">
        <v>58</v>
      </c>
      <c r="L7" s="31"/>
      <c r="M7" s="31" t="s">
        <v>59</v>
      </c>
      <c r="N7" s="32"/>
      <c r="O7" s="32"/>
    </row>
    <row r="8" spans="5:15" s="30" customFormat="1" ht="12.75">
      <c r="E8" s="31" t="s">
        <v>57</v>
      </c>
      <c r="F8" s="31"/>
      <c r="G8" s="31" t="s">
        <v>60</v>
      </c>
      <c r="H8" s="31"/>
      <c r="I8" s="31" t="s">
        <v>61</v>
      </c>
      <c r="J8" s="31"/>
      <c r="K8" s="31" t="s">
        <v>62</v>
      </c>
      <c r="L8" s="31"/>
      <c r="M8" s="31" t="s">
        <v>63</v>
      </c>
      <c r="N8" s="32"/>
      <c r="O8" s="31" t="s">
        <v>40</v>
      </c>
    </row>
    <row r="9" spans="5:15" s="30" customFormat="1" ht="12.75"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3:15" s="30" customFormat="1" ht="12.75">
      <c r="C10" s="30" t="s">
        <v>128</v>
      </c>
      <c r="E10" s="31" t="s">
        <v>49</v>
      </c>
      <c r="F10" s="31"/>
      <c r="G10" s="31" t="s">
        <v>49</v>
      </c>
      <c r="H10" s="31"/>
      <c r="I10" s="31" t="s">
        <v>49</v>
      </c>
      <c r="J10" s="31"/>
      <c r="K10" s="31" t="s">
        <v>49</v>
      </c>
      <c r="L10" s="31"/>
      <c r="M10" s="31" t="s">
        <v>49</v>
      </c>
      <c r="N10" s="31"/>
      <c r="O10" s="31" t="s">
        <v>49</v>
      </c>
    </row>
    <row r="11" s="30" customFormat="1" ht="12.75"/>
    <row r="12" spans="5:15" s="30" customFormat="1" ht="12.75">
      <c r="E12" s="35"/>
      <c r="F12" s="33"/>
      <c r="G12" s="35"/>
      <c r="H12" s="33"/>
      <c r="I12" s="35"/>
      <c r="J12" s="33"/>
      <c r="K12" s="35"/>
      <c r="L12" s="33"/>
      <c r="M12" s="35"/>
      <c r="N12" s="33"/>
      <c r="O12" s="35"/>
    </row>
    <row r="13" spans="1:15" s="30" customFormat="1" ht="12.75">
      <c r="A13" s="30" t="s">
        <v>124</v>
      </c>
      <c r="E13" s="35">
        <v>42415</v>
      </c>
      <c r="F13" s="35"/>
      <c r="G13" s="35">
        <v>7687</v>
      </c>
      <c r="H13" s="35"/>
      <c r="I13" s="35">
        <v>30</v>
      </c>
      <c r="J13" s="35"/>
      <c r="K13" s="35">
        <v>0</v>
      </c>
      <c r="L13" s="35"/>
      <c r="M13" s="35">
        <v>4948</v>
      </c>
      <c r="N13" s="35"/>
      <c r="O13" s="33">
        <f>SUM(E13:M13)</f>
        <v>55080</v>
      </c>
    </row>
    <row r="14" spans="1:15" s="30" customFormat="1" ht="12.75">
      <c r="A14" s="30" t="s">
        <v>64</v>
      </c>
      <c r="E14" s="33">
        <v>0</v>
      </c>
      <c r="F14" s="33"/>
      <c r="G14" s="33">
        <v>0</v>
      </c>
      <c r="H14" s="33"/>
      <c r="I14" s="33">
        <v>0</v>
      </c>
      <c r="J14" s="33"/>
      <c r="K14" s="33">
        <v>0</v>
      </c>
      <c r="L14" s="33"/>
      <c r="M14" s="33">
        <v>0</v>
      </c>
      <c r="N14" s="33"/>
      <c r="O14" s="33">
        <f>SUM(E14:M14)</f>
        <v>0</v>
      </c>
    </row>
    <row r="15" spans="1:15" s="30" customFormat="1" ht="12.75">
      <c r="A15" s="30" t="s">
        <v>66</v>
      </c>
      <c r="E15" s="33">
        <v>0</v>
      </c>
      <c r="F15" s="33"/>
      <c r="G15" s="33">
        <v>0</v>
      </c>
      <c r="H15" s="33"/>
      <c r="I15" s="33">
        <v>0</v>
      </c>
      <c r="J15" s="33"/>
      <c r="K15" s="33">
        <v>0</v>
      </c>
      <c r="L15" s="33"/>
      <c r="M15" s="33">
        <v>0</v>
      </c>
      <c r="N15" s="33"/>
      <c r="O15" s="33">
        <f>SUM(E15:M15)</f>
        <v>0</v>
      </c>
    </row>
    <row r="16" spans="1:15" s="30" customFormat="1" ht="12.75">
      <c r="A16" s="30" t="s">
        <v>82</v>
      </c>
      <c r="E16" s="33">
        <v>4383</v>
      </c>
      <c r="F16" s="33"/>
      <c r="G16" s="33">
        <v>1701</v>
      </c>
      <c r="H16" s="33"/>
      <c r="I16" s="33">
        <v>0</v>
      </c>
      <c r="J16" s="33"/>
      <c r="K16" s="33">
        <v>0</v>
      </c>
      <c r="L16" s="33"/>
      <c r="M16" s="33">
        <v>0</v>
      </c>
      <c r="N16" s="33"/>
      <c r="O16" s="33">
        <f>SUM(E16:M16)</f>
        <v>6084</v>
      </c>
    </row>
    <row r="17" spans="1:15" s="30" customFormat="1" ht="12.75">
      <c r="A17" s="30" t="s">
        <v>146</v>
      </c>
      <c r="E17" s="34">
        <v>0</v>
      </c>
      <c r="F17" s="33"/>
      <c r="G17" s="34">
        <v>0</v>
      </c>
      <c r="H17" s="33"/>
      <c r="I17" s="34">
        <v>0</v>
      </c>
      <c r="J17" s="33"/>
      <c r="K17" s="34">
        <v>0</v>
      </c>
      <c r="L17" s="33"/>
      <c r="M17" s="34">
        <f>+'P&amp;L'!F40</f>
        <v>-12663.709283503975</v>
      </c>
      <c r="N17" s="33"/>
      <c r="O17" s="34">
        <f>SUM(E17:M17)</f>
        <v>-12663.709283503975</v>
      </c>
    </row>
    <row r="18" spans="5:15" s="30" customFormat="1" ht="12.75">
      <c r="E18" s="35"/>
      <c r="F18" s="33"/>
      <c r="G18" s="35"/>
      <c r="H18" s="33"/>
      <c r="I18" s="35"/>
      <c r="J18" s="33"/>
      <c r="K18" s="35"/>
      <c r="L18" s="33"/>
      <c r="M18" s="35"/>
      <c r="N18" s="33"/>
      <c r="O18" s="35"/>
    </row>
    <row r="19" spans="1:17" s="30" customFormat="1" ht="13.5" thickBot="1">
      <c r="A19" s="30" t="s">
        <v>136</v>
      </c>
      <c r="E19" s="36">
        <f>SUM(E13:E17)</f>
        <v>46798</v>
      </c>
      <c r="F19" s="37"/>
      <c r="G19" s="36">
        <f>SUM(G13:G17)</f>
        <v>9388</v>
      </c>
      <c r="H19" s="37"/>
      <c r="I19" s="36">
        <f>SUM(I13:I17)</f>
        <v>30</v>
      </c>
      <c r="J19" s="37"/>
      <c r="K19" s="36">
        <f>SUM(K13:K17)</f>
        <v>0</v>
      </c>
      <c r="L19" s="37"/>
      <c r="M19" s="36">
        <f>SUM(M13:M17)</f>
        <v>-7715.709283503975</v>
      </c>
      <c r="N19" s="37"/>
      <c r="O19" s="36">
        <f>SUM(O13:O17)</f>
        <v>48500.29071649603</v>
      </c>
      <c r="P19" s="38"/>
      <c r="Q19" s="38"/>
    </row>
    <row r="20" spans="5:17" s="30" customFormat="1" ht="12.75">
      <c r="E20" s="46"/>
      <c r="F20" s="37"/>
      <c r="G20" s="46"/>
      <c r="H20" s="37"/>
      <c r="I20" s="46"/>
      <c r="J20" s="37"/>
      <c r="K20" s="46"/>
      <c r="L20" s="37"/>
      <c r="M20" s="46"/>
      <c r="N20" s="37"/>
      <c r="O20" s="46"/>
      <c r="P20" s="38"/>
      <c r="Q20" s="38"/>
    </row>
    <row r="21" spans="5:17" s="30" customFormat="1" ht="12.75">
      <c r="E21" s="46"/>
      <c r="F21" s="37"/>
      <c r="G21" s="46"/>
      <c r="H21" s="37"/>
      <c r="I21" s="46"/>
      <c r="J21" s="37"/>
      <c r="K21" s="46"/>
      <c r="L21" s="37"/>
      <c r="M21" s="46"/>
      <c r="N21" s="37"/>
      <c r="O21" s="46"/>
      <c r="P21" s="38"/>
      <c r="Q21" s="38"/>
    </row>
    <row r="22" spans="5:15" s="30" customFormat="1" ht="12.75"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30" customFormat="1" ht="12.75">
      <c r="A23" s="30" t="s">
        <v>125</v>
      </c>
      <c r="E23" s="33">
        <v>39362</v>
      </c>
      <c r="F23" s="33"/>
      <c r="G23" s="33">
        <v>5959</v>
      </c>
      <c r="H23" s="33"/>
      <c r="I23" s="33">
        <v>30</v>
      </c>
      <c r="J23" s="33"/>
      <c r="K23" s="33">
        <v>130</v>
      </c>
      <c r="L23" s="33"/>
      <c r="M23" s="33">
        <v>3315</v>
      </c>
      <c r="N23" s="33"/>
      <c r="O23" s="33">
        <f>SUM(E23:M23)</f>
        <v>48796</v>
      </c>
    </row>
    <row r="24" spans="1:15" s="30" customFormat="1" ht="12.75">
      <c r="A24" s="30" t="s">
        <v>64</v>
      </c>
      <c r="E24" s="33">
        <v>0</v>
      </c>
      <c r="F24" s="33"/>
      <c r="G24" s="33">
        <v>0</v>
      </c>
      <c r="H24" s="33"/>
      <c r="I24" s="33">
        <v>0</v>
      </c>
      <c r="J24" s="33"/>
      <c r="K24" s="33">
        <v>-130</v>
      </c>
      <c r="L24" s="33"/>
      <c r="M24" s="33">
        <v>0</v>
      </c>
      <c r="N24" s="33"/>
      <c r="O24" s="35">
        <f>SUM(E24:M24)</f>
        <v>-130</v>
      </c>
    </row>
    <row r="25" spans="1:15" s="30" customFormat="1" ht="12.75">
      <c r="A25" s="30" t="s">
        <v>66</v>
      </c>
      <c r="E25" s="33">
        <v>0</v>
      </c>
      <c r="F25" s="33"/>
      <c r="G25" s="33">
        <v>-53</v>
      </c>
      <c r="H25" s="33"/>
      <c r="I25" s="33">
        <v>0</v>
      </c>
      <c r="J25" s="33"/>
      <c r="K25" s="33">
        <v>0</v>
      </c>
      <c r="L25" s="33"/>
      <c r="M25" s="33">
        <v>0</v>
      </c>
      <c r="N25" s="33"/>
      <c r="O25" s="35">
        <f>SUM(E25:M25)</f>
        <v>-53</v>
      </c>
    </row>
    <row r="26" spans="1:15" s="30" customFormat="1" ht="12.75">
      <c r="A26" s="30" t="s">
        <v>82</v>
      </c>
      <c r="E26" s="33">
        <v>3053</v>
      </c>
      <c r="F26" s="33"/>
      <c r="G26" s="33">
        <v>1781</v>
      </c>
      <c r="H26" s="33"/>
      <c r="I26" s="33">
        <v>0</v>
      </c>
      <c r="J26" s="33"/>
      <c r="K26" s="33">
        <v>0</v>
      </c>
      <c r="L26" s="33"/>
      <c r="M26" s="33">
        <v>0</v>
      </c>
      <c r="N26" s="33"/>
      <c r="O26" s="33">
        <f>SUM(E26:M26)</f>
        <v>4834</v>
      </c>
    </row>
    <row r="27" spans="1:15" s="30" customFormat="1" ht="12.75">
      <c r="A27" s="30" t="s">
        <v>65</v>
      </c>
      <c r="E27" s="34">
        <v>0</v>
      </c>
      <c r="F27" s="33"/>
      <c r="G27" s="34">
        <v>0</v>
      </c>
      <c r="H27" s="33"/>
      <c r="I27" s="34">
        <v>0</v>
      </c>
      <c r="J27" s="33"/>
      <c r="K27" s="34">
        <v>0</v>
      </c>
      <c r="L27" s="33"/>
      <c r="M27" s="34">
        <v>1633</v>
      </c>
      <c r="N27" s="33"/>
      <c r="O27" s="34">
        <f>SUM(E27:M27)</f>
        <v>1633</v>
      </c>
    </row>
    <row r="28" spans="5:15" s="30" customFormat="1" ht="12.75">
      <c r="E28" s="35"/>
      <c r="F28" s="33"/>
      <c r="G28" s="35"/>
      <c r="H28" s="33"/>
      <c r="I28" s="35"/>
      <c r="J28" s="33"/>
      <c r="K28" s="35"/>
      <c r="L28" s="33"/>
      <c r="M28" s="35"/>
      <c r="N28" s="33"/>
      <c r="O28" s="35"/>
    </row>
    <row r="29" spans="1:15" s="30" customFormat="1" ht="13.5" thickBot="1">
      <c r="A29" s="30" t="s">
        <v>137</v>
      </c>
      <c r="E29" s="36">
        <f>SUM(E23:E28)</f>
        <v>42415</v>
      </c>
      <c r="F29" s="46">
        <f aca="true" t="shared" si="0" ref="F29:K29">SUM(F23:F28)</f>
        <v>0</v>
      </c>
      <c r="G29" s="36">
        <f t="shared" si="0"/>
        <v>7687</v>
      </c>
      <c r="H29" s="46">
        <f t="shared" si="0"/>
        <v>0</v>
      </c>
      <c r="I29" s="36">
        <f t="shared" si="0"/>
        <v>30</v>
      </c>
      <c r="J29" s="36">
        <f t="shared" si="0"/>
        <v>0</v>
      </c>
      <c r="K29" s="36">
        <f t="shared" si="0"/>
        <v>0</v>
      </c>
      <c r="L29" s="46">
        <f>SUM(L23:L28)</f>
        <v>0</v>
      </c>
      <c r="M29" s="36">
        <f>SUM(M23:M28)</f>
        <v>4948</v>
      </c>
      <c r="N29" s="46">
        <f>SUM(N23:N28)</f>
        <v>0</v>
      </c>
      <c r="O29" s="36">
        <f>SUM(O23:O28)</f>
        <v>55080</v>
      </c>
    </row>
    <row r="30" spans="5:15" s="30" customFormat="1" ht="12.75"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5:15" s="30" customFormat="1" ht="12.75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2" ht="12.75">
      <c r="A32" s="43"/>
      <c r="B32" s="43"/>
    </row>
    <row r="33" spans="1:13" s="12" customFormat="1" ht="12.75">
      <c r="A33" s="12" t="s">
        <v>120</v>
      </c>
      <c r="M33" s="45"/>
    </row>
    <row r="34" spans="1:13" s="12" customFormat="1" ht="12.75">
      <c r="A34" s="12" t="s">
        <v>74</v>
      </c>
      <c r="M34" s="45"/>
    </row>
    <row r="35" spans="1:2" ht="12.75">
      <c r="A35" s="43"/>
      <c r="B35" s="43"/>
    </row>
    <row r="36" spans="1:2" ht="12.75">
      <c r="A36" s="43"/>
      <c r="B36" s="43"/>
    </row>
    <row r="37" spans="1:2" ht="12.75">
      <c r="A37" s="43"/>
      <c r="B37" s="43"/>
    </row>
    <row r="38" spans="1:2" ht="12.75">
      <c r="A38" s="43"/>
      <c r="B38" s="43"/>
    </row>
    <row r="39" spans="1:2" ht="12.75">
      <c r="A39" s="43"/>
      <c r="B39" s="43"/>
    </row>
    <row r="40" spans="1:2" ht="12.75">
      <c r="A40" s="43"/>
      <c r="B40" s="43"/>
    </row>
    <row r="41" spans="1:2" ht="12.75">
      <c r="A41" s="43"/>
      <c r="B41" s="43"/>
    </row>
  </sheetData>
  <printOptions/>
  <pageMargins left="1" right="0.5" top="1" bottom="1" header="0.5" footer="0.5"/>
  <pageSetup fitToHeight="1" fitToWidth="1" horizontalDpi="300" verticalDpi="300" orientation="landscape" paperSize="9" scale="95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41</v>
      </c>
    </row>
    <row r="4" ht="15.75">
      <c r="A4" s="2" t="s">
        <v>30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42</v>
      </c>
      <c r="D8" s="5" t="s">
        <v>42</v>
      </c>
    </row>
    <row r="9" spans="2:4" s="5" customFormat="1" ht="12.75" customHeight="1">
      <c r="B9" s="5" t="s">
        <v>43</v>
      </c>
      <c r="D9" s="5" t="s">
        <v>43</v>
      </c>
    </row>
    <row r="10" spans="2:4" s="5" customFormat="1" ht="12.75" customHeight="1">
      <c r="B10" s="5" t="s">
        <v>31</v>
      </c>
      <c r="D10" s="5" t="s">
        <v>31</v>
      </c>
    </row>
    <row r="12" spans="1:4" ht="12.75" customHeight="1">
      <c r="A12" s="20" t="s">
        <v>44</v>
      </c>
      <c r="B12" s="27">
        <v>0</v>
      </c>
      <c r="C12" s="27"/>
      <c r="D12" s="27">
        <v>0</v>
      </c>
    </row>
    <row r="13" spans="1:4" ht="12.75" customHeight="1">
      <c r="A13" s="20" t="s">
        <v>45</v>
      </c>
      <c r="B13" s="27">
        <v>0</v>
      </c>
      <c r="C13" s="27"/>
      <c r="D13" s="27">
        <v>0</v>
      </c>
    </row>
    <row r="14" spans="2:4" ht="12.75" customHeight="1">
      <c r="B14" s="27"/>
      <c r="C14" s="27"/>
      <c r="D14" s="27"/>
    </row>
    <row r="15" spans="1:4" ht="12.75" customHeight="1">
      <c r="A15" s="20" t="s">
        <v>46</v>
      </c>
      <c r="B15" s="27">
        <v>0</v>
      </c>
      <c r="C15" s="27"/>
      <c r="D15" s="27">
        <v>0</v>
      </c>
    </row>
    <row r="16" spans="2:4" ht="12.75" customHeight="1">
      <c r="B16" s="27"/>
      <c r="C16" s="27"/>
      <c r="D16" s="27"/>
    </row>
    <row r="17" spans="1:4" ht="12.75" customHeight="1">
      <c r="A17" s="20" t="s">
        <v>47</v>
      </c>
      <c r="B17" s="27">
        <v>0</v>
      </c>
      <c r="C17" s="27"/>
      <c r="D17" s="27">
        <v>0</v>
      </c>
    </row>
    <row r="18" spans="2:4" ht="12.75" customHeight="1">
      <c r="B18" s="27"/>
      <c r="C18" s="27"/>
      <c r="D18" s="27"/>
    </row>
    <row r="19" spans="1:4" ht="12.75" customHeight="1">
      <c r="A19" s="20" t="s">
        <v>48</v>
      </c>
      <c r="B19" s="27">
        <v>0</v>
      </c>
      <c r="C19" s="27"/>
      <c r="D19" s="27">
        <v>0</v>
      </c>
    </row>
    <row r="20" spans="2:4" ht="12.75" customHeight="1">
      <c r="B20" s="27"/>
      <c r="C20" s="27"/>
      <c r="D20" s="27"/>
    </row>
    <row r="22" s="15" customFormat="1" ht="12.75">
      <c r="A22" s="15" t="s">
        <v>52</v>
      </c>
    </row>
    <row r="23" s="15" customFormat="1" ht="12.75">
      <c r="A23" s="15" t="s">
        <v>51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USer</cp:lastModifiedBy>
  <cp:lastPrinted>2006-02-25T02:06:27Z</cp:lastPrinted>
  <dcterms:created xsi:type="dcterms:W3CDTF">2002-05-19T06:20:37Z</dcterms:created>
  <dcterms:modified xsi:type="dcterms:W3CDTF">2006-02-27T07:24:17Z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383528047</vt:i4>
  </property>
  <property fmtid="{D5CDD505-2E9C-101B-9397-08002B2CF9AE}" pid="3" name="_EmailSubject">
    <vt:lpwstr>Q3 2004 result - 22 Nov 2004</vt:lpwstr>
  </property>
  <property fmtid="{D5CDD505-2E9C-101B-9397-08002B2CF9AE}" pid="4" name="_AuthorEmail">
    <vt:lpwstr>farish@magnaprima.com.my</vt:lpwstr>
  </property>
  <property fmtid="{D5CDD505-2E9C-101B-9397-08002B2CF9AE}" pid="5" name="_AuthorEmailDisplayName">
    <vt:lpwstr>farish</vt:lpwstr>
  </property>
  <property fmtid="{D5CDD505-2E9C-101B-9397-08002B2CF9AE}" pid="6" name="_ReviewingToolsShownOnce">
    <vt:lpwstr/>
  </property>
</Properties>
</file>